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1"/>
  </bookViews>
  <sheets>
    <sheet name="Труба , конус" sheetId="1" r:id="rId1"/>
    <sheet name="Колено, тройник" sheetId="2" r:id="rId2"/>
  </sheets>
  <definedNames>
    <definedName name="_xlnm.Print_Area" localSheetId="1">'Колено, тройник'!$A$1:$M$76</definedName>
    <definedName name="_xlnm.Print_Area" localSheetId="0">'Труба , конус'!$A$1:$S$71</definedName>
  </definedNames>
  <calcPr fullCalcOnLoad="1" refMode="R1C1"/>
</workbook>
</file>

<file path=xl/sharedStrings.xml><?xml version="1.0" encoding="utf-8"?>
<sst xmlns="http://schemas.openxmlformats.org/spreadsheetml/2006/main" count="443" uniqueCount="172">
  <si>
    <t>ПП Костишин О.М.</t>
  </si>
  <si>
    <t>Довжина,товщина</t>
  </si>
  <si>
    <t>ф140</t>
  </si>
  <si>
    <t>ф150</t>
  </si>
  <si>
    <t>ф160</t>
  </si>
  <si>
    <t>ф180</t>
  </si>
  <si>
    <t>ф200</t>
  </si>
  <si>
    <t>ф220</t>
  </si>
  <si>
    <t>ф250</t>
  </si>
  <si>
    <t>ф320</t>
  </si>
  <si>
    <t>/240</t>
  </si>
  <si>
    <t>/260</t>
  </si>
  <si>
    <t>Товщина</t>
  </si>
  <si>
    <t>Коліно 45* н/оц  0,5 мм</t>
  </si>
  <si>
    <t>Коліно 45* н/оц  0,8 мм</t>
  </si>
  <si>
    <t>Коліно 45* н/оц  1,0 мм</t>
  </si>
  <si>
    <t>Коліно 45* н/н  0,5 мм</t>
  </si>
  <si>
    <t>Коліно 45* н/н  0,8 мм</t>
  </si>
  <si>
    <t>Коліно 90* н/оц  0,5 мм</t>
  </si>
  <si>
    <t>Коліно 90* н/оц  0,8 мм</t>
  </si>
  <si>
    <t>Коліно 90* н/оц  1,0 мм</t>
  </si>
  <si>
    <t>Коліно 45* н/н  1,0 мм</t>
  </si>
  <si>
    <t>Коліно 90* н/н  0,5 мм</t>
  </si>
  <si>
    <t>Коліно 90* н/н  0,8 мм</t>
  </si>
  <si>
    <t>Коліно 90* н/н  1,0 мм</t>
  </si>
  <si>
    <t xml:space="preserve">Конус </t>
  </si>
  <si>
    <t>Конус н/оц 0,5 мм</t>
  </si>
  <si>
    <t>Конус н/н 0,5 мм</t>
  </si>
  <si>
    <t>Дефлектор</t>
  </si>
  <si>
    <t>Зонт</t>
  </si>
  <si>
    <t>Зонт оц 0,5 мм</t>
  </si>
  <si>
    <t>Зонт н 0,5 мм</t>
  </si>
  <si>
    <t>Трійник 90*  0,8 мм</t>
  </si>
  <si>
    <t>Трійник 90*  1,0 мм</t>
  </si>
  <si>
    <t>Трійник 45* н/оц  0,5 мм</t>
  </si>
  <si>
    <t>Трійник 45* н/оц  0,8 мм</t>
  </si>
  <si>
    <t>Трійник 45* н/оц  1,0 мм</t>
  </si>
  <si>
    <t>Трійник 90* н/оц  0,5 мм</t>
  </si>
  <si>
    <t>Трійник 90* н/оц  0,8 мм</t>
  </si>
  <si>
    <t>Трійник 90* н/оц  1,0 мм</t>
  </si>
  <si>
    <t>Трійник 45* н/н  0,5 мм</t>
  </si>
  <si>
    <t>Трійник 45* н/н  0,8 мм</t>
  </si>
  <si>
    <t>Трійник 45* н/н  1,0 мм</t>
  </si>
  <si>
    <t>Трійник 90* н/н  0,5 мм</t>
  </si>
  <si>
    <t>Трійник 90* н/н  0,8 мм</t>
  </si>
  <si>
    <t>Трійник 90* н/н  1,0 мм</t>
  </si>
  <si>
    <t>Криза</t>
  </si>
  <si>
    <t>Кут</t>
  </si>
  <si>
    <t>Круг</t>
  </si>
  <si>
    <t>ф120</t>
  </si>
  <si>
    <t>/220</t>
  </si>
  <si>
    <t>140х140</t>
  </si>
  <si>
    <t>150х150</t>
  </si>
  <si>
    <t>160х160</t>
  </si>
  <si>
    <t>180х180</t>
  </si>
  <si>
    <t>200х200</t>
  </si>
  <si>
    <t>220х220</t>
  </si>
  <si>
    <t>250х250</t>
  </si>
  <si>
    <t>120х120</t>
  </si>
  <si>
    <t>/180</t>
  </si>
  <si>
    <t>/200</t>
  </si>
  <si>
    <t>/210</t>
  </si>
  <si>
    <t>/290</t>
  </si>
  <si>
    <t>Коліно 45*  0,5 мм нерж.</t>
  </si>
  <si>
    <t>Коліно 45*  0,8 мм нерж.</t>
  </si>
  <si>
    <t>Коліно 45*  1,0 мм нерж.</t>
  </si>
  <si>
    <t>Коліно 90*  0,5 мм нерж.</t>
  </si>
  <si>
    <t>Коліно 90*  0,8 мм нерж.</t>
  </si>
  <si>
    <t>Коліно 90*  1,0 мм нерж.</t>
  </si>
  <si>
    <t>www.tapco.dp.ua</t>
  </si>
  <si>
    <t>e-mail: amkostyshyn@gmail.com</t>
  </si>
  <si>
    <t>Трійник 45* 0,5 мм нерж.</t>
  </si>
  <si>
    <t>Трійник 45* 0,8 мм нерж.</t>
  </si>
  <si>
    <t>Трійник 45* 1,0 мм нерж.</t>
  </si>
  <si>
    <t>Трійник 90* 0,5 мм нерж.</t>
  </si>
  <si>
    <t>Трійник 90* 0,8 мм нерж.</t>
  </si>
  <si>
    <t>Трійник 90* 1,0 мм нерж.</t>
  </si>
  <si>
    <t>L=1,0 м, 0,5 мм н/оц</t>
  </si>
  <si>
    <t>L=1,0 м, 0,8 мм н/оц</t>
  </si>
  <si>
    <t>L=1,0 м, 1,00 мм н/оц</t>
  </si>
  <si>
    <t>L=0,5 м, 0,5 мм н/оц</t>
  </si>
  <si>
    <t>L=0,5 м, 0,8 мм н/оц</t>
  </si>
  <si>
    <t>L=0,5 м, 1,00 мм н/оц</t>
  </si>
  <si>
    <t>L=1,0 м, 0,5 мм н/н</t>
  </si>
  <si>
    <t>L=1,0 м, 0,8 мм н/н</t>
  </si>
  <si>
    <t>L=1,0 м, 1,00 мм н/н</t>
  </si>
  <si>
    <t>L=0,5 м, 0,5 мм н/н</t>
  </si>
  <si>
    <t>L=0,5 м, 0,8 мм н/н</t>
  </si>
  <si>
    <t>L=0,5 м, 1,00 мм н/н</t>
  </si>
  <si>
    <t xml:space="preserve">Прайс-лист </t>
  </si>
  <si>
    <t xml:space="preserve">  димоходів</t>
  </si>
  <si>
    <t>ф130</t>
  </si>
  <si>
    <t>/190</t>
  </si>
  <si>
    <t>130х130</t>
  </si>
  <si>
    <t xml:space="preserve">Дефлектор н 0,5 мм </t>
  </si>
  <si>
    <t>L=0,25 м, 0,5 мм н/оц</t>
  </si>
  <si>
    <t>L=0,25 м, 0,8 мм н/оц</t>
  </si>
  <si>
    <t>L=0,25 м, 1,00 мм н/оц</t>
  </si>
  <si>
    <t>L=0,25 м, 0,5 мм н/н</t>
  </si>
  <si>
    <t>L=0,25 м, 0,8 мм н/н</t>
  </si>
  <si>
    <t>L=0,25 м, 1,00 мм н/н</t>
  </si>
  <si>
    <t>н/н</t>
  </si>
  <si>
    <t>н/оц</t>
  </si>
  <si>
    <t>н</t>
  </si>
  <si>
    <t xml:space="preserve">  Труба із нержавіючої сталі </t>
  </si>
  <si>
    <t xml:space="preserve"> (097) 365-88-77, (050) 451-56-57</t>
  </si>
  <si>
    <t xml:space="preserve"> димоходів</t>
  </si>
  <si>
    <t>Коліно із нержавіючої сталі</t>
  </si>
  <si>
    <t xml:space="preserve"> Коліно із  нержавіючої сталі з теплоізоляцією в оцинкованному кожусі</t>
  </si>
  <si>
    <t>Коліно із  нержавіючої сталі з теплоізоляцією в нержавіючому кожусі</t>
  </si>
  <si>
    <t>Трійник із нержавіючої сталі</t>
  </si>
  <si>
    <t>Трійник із  нержавіючої сталі  з теплоізоляцією в оцинкованному кожусі</t>
  </si>
  <si>
    <t>Трійник із  нержавіючої сталі  з теплоізоляцією в нержавіючому кожусі</t>
  </si>
  <si>
    <t>Трійник квадратний із нержавіючої сталі</t>
  </si>
  <si>
    <t xml:space="preserve"> Труба із нержавіючої сталі  з теплоізоляцією в оцинкованному кожусі </t>
  </si>
  <si>
    <t>Труба із нержавіючої сталі  з теплоізоляцією в нержавіючому кожусі</t>
  </si>
  <si>
    <t>Радиаторная труба із нержавіючої сталі</t>
  </si>
  <si>
    <t>Перехід з квадрата на круг</t>
  </si>
  <si>
    <t>Перехід нерж. 0,8 мм</t>
  </si>
  <si>
    <t>Перехід нерж. 1,0 мм</t>
  </si>
  <si>
    <t xml:space="preserve">  </t>
  </si>
  <si>
    <t>Шибер</t>
  </si>
  <si>
    <t>0-15, 15-30 оцин</t>
  </si>
  <si>
    <t>/320</t>
  </si>
  <si>
    <t>/270</t>
  </si>
  <si>
    <t xml:space="preserve">0-30 нерж. </t>
  </si>
  <si>
    <t>ф210</t>
  </si>
  <si>
    <t>ф240</t>
  </si>
  <si>
    <t>ф260</t>
  </si>
  <si>
    <t>ф290</t>
  </si>
  <si>
    <t>шибер 0,8мм,  заслонка 1мм</t>
  </si>
  <si>
    <t xml:space="preserve"> Хомут обжимной, Хомут растяжной</t>
  </si>
  <si>
    <t>Хомут обжимной н. 0,5 мм</t>
  </si>
  <si>
    <t>Платформа розвантажувальна</t>
  </si>
  <si>
    <t>Розвантажувал. н 0,8 мм</t>
  </si>
  <si>
    <t>ф300</t>
  </si>
  <si>
    <t>/370</t>
  </si>
  <si>
    <t>300х300</t>
  </si>
  <si>
    <t>ф370</t>
  </si>
  <si>
    <t>L=1,0 м, 0,5 мм н.</t>
  </si>
  <si>
    <t>L=1,0 м, 0,8 мм н.</t>
  </si>
  <si>
    <t>L=1,0 м, 1,00 мм н.</t>
  </si>
  <si>
    <t>L=0,5 м, 0,5 мм н.</t>
  </si>
  <si>
    <t>L=0,5 м, 0,8 мм н.</t>
  </si>
  <si>
    <t>L=0,5 м, 1,00 мм н.</t>
  </si>
  <si>
    <t>Адреса: Україна, м.Дніпро,</t>
  </si>
  <si>
    <t>Термін виготовлення виробів від 3 до 5 днів.</t>
  </si>
  <si>
    <t>Таблиця формування ціни з застосуванням різних матеріалів:</t>
  </si>
  <si>
    <t>внутрішня труба / кожух</t>
  </si>
  <si>
    <t>AISI 304 / цинк = ціни у прайсі (н/оц)</t>
  </si>
  <si>
    <t>AISI 321 / цинк = (ціни у прайсі(н/оц))+20%</t>
  </si>
  <si>
    <t>AISI 304 / AISI 304  = ціни у прайсі (н/н)</t>
  </si>
  <si>
    <t>AISI 304 / AISI 430  = (ціни у прайсі (н/н))-10%</t>
  </si>
  <si>
    <t>AISI 430 / AISI 430  =  (ціни у прайсі (н/н))-15%</t>
  </si>
  <si>
    <t>AISI 321 / AISI 430  =  (ціни у прайсі (н/н))</t>
  </si>
  <si>
    <t>AISI 321 / AISI 304  =  (ціни у прайсі (н/н))+10%</t>
  </si>
  <si>
    <t>AISI 430 / RAL  =  ціни у прайсі (н/оц)</t>
  </si>
  <si>
    <t>AISI 304 / RAL  =  (ціни у прайсі (н/оц))+15%</t>
  </si>
  <si>
    <t>AISI 321 / RAL  =  (ціни у прайсі (н/н))+30%</t>
  </si>
  <si>
    <t>Креставина = Трійник 90*+30%</t>
  </si>
  <si>
    <t xml:space="preserve">      Ціни вказані в гривнях AISI 304</t>
  </si>
  <si>
    <t xml:space="preserve">   Ціни вказані в гривнях AISI 304</t>
  </si>
  <si>
    <t>AISI 430 / цинк = (ціни у прайсі (н/оц))-10%</t>
  </si>
  <si>
    <t xml:space="preserve">Заглушка, Окапник х1,5, Дека х1,5 </t>
  </si>
  <si>
    <t>Заглушка оц. 0,5 мм</t>
  </si>
  <si>
    <t>Заглушка н. 0,5 мм</t>
  </si>
  <si>
    <t>Хомут растяжной н. 0,5 мм</t>
  </si>
  <si>
    <t>L=0,25 м, 0,5 мм н.</t>
  </si>
  <si>
    <t>L=0,25 м, 0,8 мм н.</t>
  </si>
  <si>
    <t>L=0,25 м, 1,00 мм н.</t>
  </si>
  <si>
    <t xml:space="preserve"> пр-т О. Поля 50-Г, </t>
  </si>
  <si>
    <t>від 01.10.2018 р.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</si>
</sst>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;@"/>
  </numFmts>
  <fonts count="32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u val="single"/>
      <sz val="13"/>
      <color indexed="12"/>
      <name val="Calibri"/>
      <family val="2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0" fillId="24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0" xfId="0" applyFill="1" applyBorder="1" applyAlignment="1">
      <alignment/>
    </xf>
    <xf numFmtId="10" fontId="0" fillId="24" borderId="0" xfId="0" applyNumberFormat="1" applyFill="1" applyBorder="1" applyAlignment="1">
      <alignment/>
    </xf>
    <xf numFmtId="0" fontId="0" fillId="23" borderId="10" xfId="0" applyFill="1" applyBorder="1" applyAlignment="1">
      <alignment/>
    </xf>
    <xf numFmtId="0" fontId="0" fillId="23" borderId="11" xfId="0" applyFill="1" applyBorder="1" applyAlignment="1">
      <alignment/>
    </xf>
    <xf numFmtId="0" fontId="0" fillId="23" borderId="12" xfId="0" applyFill="1" applyBorder="1" applyAlignment="1">
      <alignment/>
    </xf>
    <xf numFmtId="0" fontId="0" fillId="23" borderId="13" xfId="0" applyFill="1" applyBorder="1" applyAlignment="1">
      <alignment horizontal="center"/>
    </xf>
    <xf numFmtId="0" fontId="0" fillId="23" borderId="14" xfId="0" applyFill="1" applyBorder="1" applyAlignment="1">
      <alignment horizontal="center"/>
    </xf>
    <xf numFmtId="0" fontId="0" fillId="24" borderId="10" xfId="0" applyFont="1" applyFill="1" applyBorder="1" applyAlignment="1">
      <alignment/>
    </xf>
    <xf numFmtId="1" fontId="0" fillId="24" borderId="10" xfId="0" applyNumberFormat="1" applyFont="1" applyFill="1" applyBorder="1" applyAlignment="1">
      <alignment horizontal="right"/>
    </xf>
    <xf numFmtId="1" fontId="0" fillId="24" borderId="15" xfId="0" applyNumberFormat="1" applyFont="1" applyFill="1" applyBorder="1" applyAlignment="1">
      <alignment horizontal="right"/>
    </xf>
    <xf numFmtId="0" fontId="0" fillId="23" borderId="15" xfId="0" applyFont="1" applyFill="1" applyBorder="1" applyAlignment="1">
      <alignment horizontal="center"/>
    </xf>
    <xf numFmtId="0" fontId="0" fillId="23" borderId="10" xfId="0" applyFont="1" applyFill="1" applyBorder="1" applyAlignment="1">
      <alignment/>
    </xf>
    <xf numFmtId="0" fontId="0" fillId="23" borderId="11" xfId="0" applyFont="1" applyFill="1" applyBorder="1" applyAlignment="1">
      <alignment/>
    </xf>
    <xf numFmtId="0" fontId="0" fillId="23" borderId="12" xfId="0" applyFont="1" applyFill="1" applyBorder="1" applyAlignment="1">
      <alignment/>
    </xf>
    <xf numFmtId="0" fontId="0" fillId="0" borderId="0" xfId="0" applyAlignment="1">
      <alignment horizontal="left"/>
    </xf>
    <xf numFmtId="0" fontId="0" fillId="24" borderId="16" xfId="0" applyFont="1" applyFill="1" applyBorder="1" applyAlignment="1">
      <alignment/>
    </xf>
    <xf numFmtId="1" fontId="0" fillId="24" borderId="0" xfId="0" applyNumberFormat="1" applyFont="1" applyFill="1" applyBorder="1" applyAlignment="1">
      <alignment horizontal="right"/>
    </xf>
    <xf numFmtId="1" fontId="0" fillId="24" borderId="0" xfId="0" applyNumberFormat="1" applyFont="1" applyFill="1" applyBorder="1" applyAlignment="1">
      <alignment/>
    </xf>
    <xf numFmtId="0" fontId="0" fillId="23" borderId="10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7" fillId="0" borderId="16" xfId="0" applyFont="1" applyBorder="1" applyAlignment="1">
      <alignment/>
    </xf>
    <xf numFmtId="0" fontId="10" fillId="0" borderId="0" xfId="0" applyFont="1" applyAlignment="1">
      <alignment/>
    </xf>
    <xf numFmtId="0" fontId="1" fillId="23" borderId="17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23" borderId="15" xfId="0" applyFill="1" applyBorder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56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23" borderId="10" xfId="0" applyFont="1" applyFill="1" applyBorder="1" applyAlignment="1">
      <alignment/>
    </xf>
    <xf numFmtId="0" fontId="11" fillId="24" borderId="10" xfId="0" applyFont="1" applyFill="1" applyBorder="1" applyAlignment="1">
      <alignment/>
    </xf>
    <xf numFmtId="1" fontId="11" fillId="24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56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23" borderId="17" xfId="0" applyFont="1" applyFill="1" applyBorder="1" applyAlignment="1">
      <alignment horizontal="center"/>
    </xf>
    <xf numFmtId="0" fontId="11" fillId="23" borderId="10" xfId="0" applyFont="1" applyFill="1" applyBorder="1" applyAlignment="1">
      <alignment/>
    </xf>
    <xf numFmtId="0" fontId="11" fillId="23" borderId="18" xfId="0" applyFont="1" applyFill="1" applyBorder="1" applyAlignment="1">
      <alignment horizontal="center"/>
    </xf>
    <xf numFmtId="0" fontId="11" fillId="23" borderId="11" xfId="0" applyFont="1" applyFill="1" applyBorder="1" applyAlignment="1">
      <alignment/>
    </xf>
    <xf numFmtId="0" fontId="11" fillId="23" borderId="12" xfId="0" applyFont="1" applyFill="1" applyBorder="1" applyAlignment="1">
      <alignment/>
    </xf>
    <xf numFmtId="0" fontId="11" fillId="23" borderId="13" xfId="0" applyFont="1" applyFill="1" applyBorder="1" applyAlignment="1">
      <alignment horizontal="center"/>
    </xf>
    <xf numFmtId="0" fontId="11" fillId="23" borderId="14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1" fillId="23" borderId="13" xfId="0" applyFont="1" applyFill="1" applyBorder="1" applyAlignment="1">
      <alignment/>
    </xf>
    <xf numFmtId="0" fontId="11" fillId="0" borderId="17" xfId="0" applyFont="1" applyBorder="1" applyAlignment="1">
      <alignment/>
    </xf>
    <xf numFmtId="1" fontId="11" fillId="0" borderId="10" xfId="0" applyNumberFormat="1" applyFont="1" applyBorder="1" applyAlignment="1">
      <alignment horizontal="right"/>
    </xf>
    <xf numFmtId="1" fontId="11" fillId="0" borderId="15" xfId="0" applyNumberFormat="1" applyFont="1" applyBorder="1" applyAlignment="1">
      <alignment horizontal="right"/>
    </xf>
    <xf numFmtId="1" fontId="11" fillId="0" borderId="10" xfId="0" applyNumberFormat="1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7" xfId="0" applyFont="1" applyBorder="1" applyAlignment="1">
      <alignment vertical="center"/>
    </xf>
    <xf numFmtId="1" fontId="11" fillId="0" borderId="10" xfId="0" applyNumberFormat="1" applyFont="1" applyBorder="1" applyAlignment="1">
      <alignment/>
    </xf>
    <xf numFmtId="0" fontId="11" fillId="23" borderId="15" xfId="0" applyFont="1" applyFill="1" applyBorder="1" applyAlignment="1">
      <alignment horizontal="center"/>
    </xf>
    <xf numFmtId="0" fontId="11" fillId="24" borderId="17" xfId="0" applyFont="1" applyFill="1" applyBorder="1" applyAlignment="1">
      <alignment/>
    </xf>
    <xf numFmtId="1" fontId="15" fillId="24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6" xfId="0" applyFont="1" applyBorder="1" applyAlignment="1">
      <alignment horizontal="left"/>
    </xf>
    <xf numFmtId="0" fontId="11" fillId="23" borderId="12" xfId="0" applyFont="1" applyFill="1" applyBorder="1" applyAlignment="1">
      <alignment horizontal="center" vertical="center"/>
    </xf>
    <xf numFmtId="0" fontId="11" fillId="23" borderId="14" xfId="0" applyFont="1" applyFill="1" applyBorder="1" applyAlignment="1">
      <alignment horizontal="center" vertical="center"/>
    </xf>
    <xf numFmtId="0" fontId="11" fillId="24" borderId="12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11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23" borderId="17" xfId="0" applyFont="1" applyFill="1" applyBorder="1" applyAlignment="1">
      <alignment horizontal="center"/>
    </xf>
    <xf numFmtId="0" fontId="11" fillId="23" borderId="16" xfId="0" applyFont="1" applyFill="1" applyBorder="1" applyAlignment="1">
      <alignment horizontal="center"/>
    </xf>
    <xf numFmtId="0" fontId="11" fillId="23" borderId="15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24" borderId="14" xfId="0" applyFont="1" applyFill="1" applyBorder="1" applyAlignment="1">
      <alignment horizontal="left" vertical="top" wrapText="1"/>
    </xf>
    <xf numFmtId="1" fontId="11" fillId="24" borderId="12" xfId="0" applyNumberFormat="1" applyFont="1" applyFill="1" applyBorder="1" applyAlignment="1">
      <alignment horizontal="center" vertical="center"/>
    </xf>
    <xf numFmtId="1" fontId="11" fillId="24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164" fontId="13" fillId="0" borderId="0" xfId="0" applyNumberFormat="1" applyFont="1" applyAlignment="1">
      <alignment horizontal="center"/>
    </xf>
    <xf numFmtId="0" fontId="7" fillId="0" borderId="20" xfId="0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0" fillId="24" borderId="17" xfId="0" applyFont="1" applyFill="1" applyBorder="1" applyAlignment="1">
      <alignment horizontal="left"/>
    </xf>
    <xf numFmtId="0" fontId="0" fillId="24" borderId="15" xfId="0" applyFont="1" applyFill="1" applyBorder="1" applyAlignment="1">
      <alignment horizontal="left"/>
    </xf>
    <xf numFmtId="0" fontId="0" fillId="23" borderId="17" xfId="0" applyFont="1" applyFill="1" applyBorder="1" applyAlignment="1">
      <alignment horizontal="center"/>
    </xf>
    <xf numFmtId="0" fontId="0" fillId="23" borderId="15" xfId="0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 vertical="center"/>
    </xf>
    <xf numFmtId="0" fontId="0" fillId="23" borderId="18" xfId="0" applyFont="1" applyFill="1" applyBorder="1" applyAlignment="1">
      <alignment horizontal="center" vertical="center"/>
    </xf>
    <xf numFmtId="0" fontId="0" fillId="23" borderId="13" xfId="0" applyFont="1" applyFill="1" applyBorder="1" applyAlignment="1">
      <alignment horizontal="center" vertical="center"/>
    </xf>
    <xf numFmtId="0" fontId="0" fillId="23" borderId="22" xfId="0" applyFont="1" applyFill="1" applyBorder="1" applyAlignment="1">
      <alignment horizontal="center" vertical="center"/>
    </xf>
    <xf numFmtId="0" fontId="1" fillId="23" borderId="11" xfId="0" applyFont="1" applyFill="1" applyBorder="1" applyAlignment="1">
      <alignment horizontal="center"/>
    </xf>
    <xf numFmtId="0" fontId="1" fillId="23" borderId="18" xfId="0" applyFont="1" applyFill="1" applyBorder="1" applyAlignment="1">
      <alignment horizontal="center"/>
    </xf>
    <xf numFmtId="0" fontId="1" fillId="23" borderId="13" xfId="0" applyFont="1" applyFill="1" applyBorder="1" applyAlignment="1">
      <alignment horizontal="center"/>
    </xf>
    <xf numFmtId="0" fontId="1" fillId="23" borderId="22" xfId="0" applyFont="1" applyFill="1" applyBorder="1" applyAlignment="1">
      <alignment horizontal="center"/>
    </xf>
    <xf numFmtId="0" fontId="6" fillId="0" borderId="0" xfId="56" applyFont="1" applyAlignment="1">
      <alignment horizontal="center"/>
    </xf>
    <xf numFmtId="0" fontId="7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Percent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21</xdr:row>
      <xdr:rowOff>104775</xdr:rowOff>
    </xdr:from>
    <xdr:to>
      <xdr:col>0</xdr:col>
      <xdr:colOff>457200</xdr:colOff>
      <xdr:row>24</xdr:row>
      <xdr:rowOff>161925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238750"/>
          <a:ext cx="342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33</xdr:row>
      <xdr:rowOff>76200</xdr:rowOff>
    </xdr:from>
    <xdr:to>
      <xdr:col>0</xdr:col>
      <xdr:colOff>409575</xdr:colOff>
      <xdr:row>36</xdr:row>
      <xdr:rowOff>133350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096250"/>
          <a:ext cx="342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8</xdr:row>
      <xdr:rowOff>123825</xdr:rowOff>
    </xdr:from>
    <xdr:to>
      <xdr:col>0</xdr:col>
      <xdr:colOff>495300</xdr:colOff>
      <xdr:row>11</xdr:row>
      <xdr:rowOff>209550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181225"/>
          <a:ext cx="381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53</xdr:row>
      <xdr:rowOff>257175</xdr:rowOff>
    </xdr:from>
    <xdr:to>
      <xdr:col>0</xdr:col>
      <xdr:colOff>581025</xdr:colOff>
      <xdr:row>55</xdr:row>
      <xdr:rowOff>200025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3125450"/>
          <a:ext cx="504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41</xdr:row>
      <xdr:rowOff>219075</xdr:rowOff>
    </xdr:from>
    <xdr:to>
      <xdr:col>0</xdr:col>
      <xdr:colOff>476250</xdr:colOff>
      <xdr:row>45</xdr:row>
      <xdr:rowOff>19050</xdr:rowOff>
    </xdr:to>
    <xdr:pic>
      <xdr:nvPicPr>
        <xdr:cNvPr id="5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10144125"/>
          <a:ext cx="333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50</xdr:row>
      <xdr:rowOff>190500</xdr:rowOff>
    </xdr:from>
    <xdr:to>
      <xdr:col>0</xdr:col>
      <xdr:colOff>514350</xdr:colOff>
      <xdr:row>53</xdr:row>
      <xdr:rowOff>66675</xdr:rowOff>
    </xdr:to>
    <xdr:pic>
      <xdr:nvPicPr>
        <xdr:cNvPr id="6" name="Рисунок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12315825"/>
          <a:ext cx="428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47625</xdr:rowOff>
    </xdr:from>
    <xdr:to>
      <xdr:col>0</xdr:col>
      <xdr:colOff>561975</xdr:colOff>
      <xdr:row>60</xdr:row>
      <xdr:rowOff>38100</xdr:rowOff>
    </xdr:to>
    <xdr:pic>
      <xdr:nvPicPr>
        <xdr:cNvPr id="7" name="Рисунок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416367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46</xdr:row>
      <xdr:rowOff>9525</xdr:rowOff>
    </xdr:from>
    <xdr:to>
      <xdr:col>0</xdr:col>
      <xdr:colOff>514350</xdr:colOff>
      <xdr:row>48</xdr:row>
      <xdr:rowOff>104775</xdr:rowOff>
    </xdr:to>
    <xdr:pic>
      <xdr:nvPicPr>
        <xdr:cNvPr id="8" name="Рисунок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11182350"/>
          <a:ext cx="400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63</xdr:row>
      <xdr:rowOff>0</xdr:rowOff>
    </xdr:from>
    <xdr:to>
      <xdr:col>0</xdr:col>
      <xdr:colOff>504825</xdr:colOff>
      <xdr:row>64</xdr:row>
      <xdr:rowOff>180975</xdr:rowOff>
    </xdr:to>
    <xdr:pic>
      <xdr:nvPicPr>
        <xdr:cNvPr id="9" name="Рисунок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5335250"/>
          <a:ext cx="438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8</xdr:row>
      <xdr:rowOff>66675</xdr:rowOff>
    </xdr:from>
    <xdr:to>
      <xdr:col>0</xdr:col>
      <xdr:colOff>838200</xdr:colOff>
      <xdr:row>10</xdr:row>
      <xdr:rowOff>152400</xdr:rowOff>
    </xdr:to>
    <xdr:pic>
      <xdr:nvPicPr>
        <xdr:cNvPr id="1" name="Рисунок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0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17</xdr:row>
      <xdr:rowOff>152400</xdr:rowOff>
    </xdr:from>
    <xdr:to>
      <xdr:col>0</xdr:col>
      <xdr:colOff>781050</xdr:colOff>
      <xdr:row>20</xdr:row>
      <xdr:rowOff>152400</xdr:rowOff>
    </xdr:to>
    <xdr:pic>
      <xdr:nvPicPr>
        <xdr:cNvPr id="2" name="Рисунок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06717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27</xdr:row>
      <xdr:rowOff>0</xdr:rowOff>
    </xdr:from>
    <xdr:to>
      <xdr:col>0</xdr:col>
      <xdr:colOff>828675</xdr:colOff>
      <xdr:row>29</xdr:row>
      <xdr:rowOff>180975</xdr:rowOff>
    </xdr:to>
    <xdr:pic>
      <xdr:nvPicPr>
        <xdr:cNvPr id="3" name="Рисунок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895975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36</xdr:row>
      <xdr:rowOff>0</xdr:rowOff>
    </xdr:from>
    <xdr:to>
      <xdr:col>0</xdr:col>
      <xdr:colOff>733425</xdr:colOff>
      <xdr:row>39</xdr:row>
      <xdr:rowOff>0</xdr:rowOff>
    </xdr:to>
    <xdr:pic>
      <xdr:nvPicPr>
        <xdr:cNvPr id="4" name="Рисунок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768667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44</xdr:row>
      <xdr:rowOff>0</xdr:rowOff>
    </xdr:from>
    <xdr:to>
      <xdr:col>0</xdr:col>
      <xdr:colOff>723900</xdr:colOff>
      <xdr:row>46</xdr:row>
      <xdr:rowOff>142875</xdr:rowOff>
    </xdr:to>
    <xdr:pic>
      <xdr:nvPicPr>
        <xdr:cNvPr id="5" name="Рисунок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9286875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53</xdr:row>
      <xdr:rowOff>0</xdr:rowOff>
    </xdr:from>
    <xdr:to>
      <xdr:col>0</xdr:col>
      <xdr:colOff>723900</xdr:colOff>
      <xdr:row>55</xdr:row>
      <xdr:rowOff>133350</xdr:rowOff>
    </xdr:to>
    <xdr:pic>
      <xdr:nvPicPr>
        <xdr:cNvPr id="6" name="Рисунок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11077575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58</xdr:row>
      <xdr:rowOff>257175</xdr:rowOff>
    </xdr:from>
    <xdr:to>
      <xdr:col>0</xdr:col>
      <xdr:colOff>723900</xdr:colOff>
      <xdr:row>62</xdr:row>
      <xdr:rowOff>142875</xdr:rowOff>
    </xdr:to>
    <xdr:pic>
      <xdr:nvPicPr>
        <xdr:cNvPr id="7" name="Рисунок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12287250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apco.dp.u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zoomScalePageLayoutView="0" workbookViewId="0" topLeftCell="A3">
      <selection activeCell="L70" sqref="L70"/>
    </sheetView>
  </sheetViews>
  <sheetFormatPr defaultColWidth="9.140625" defaultRowHeight="15"/>
  <cols>
    <col min="2" max="2" width="28.00390625" style="0" customWidth="1"/>
    <col min="3" max="3" width="7.57421875" style="0" customWidth="1"/>
    <col min="4" max="4" width="7.7109375" style="0" customWidth="1"/>
    <col min="5" max="5" width="7.57421875" style="0" customWidth="1"/>
    <col min="6" max="6" width="7.421875" style="0" customWidth="1"/>
    <col min="7" max="7" width="7.57421875" style="0" customWidth="1"/>
    <col min="8" max="8" width="7.140625" style="0" customWidth="1"/>
    <col min="9" max="10" width="7.28125" style="0" customWidth="1"/>
    <col min="11" max="11" width="7.8515625" style="0" customWidth="1"/>
    <col min="12" max="12" width="8.140625" style="0" customWidth="1"/>
    <col min="13" max="13" width="9.28125" style="0" customWidth="1"/>
  </cols>
  <sheetData>
    <row r="1" spans="1:8" ht="18.75">
      <c r="A1" s="5"/>
      <c r="C1" s="5"/>
      <c r="D1" s="5"/>
      <c r="F1" s="9"/>
      <c r="G1" s="9"/>
      <c r="H1" s="9"/>
    </row>
    <row r="2" spans="1:12" ht="26.25">
      <c r="A2" s="5"/>
      <c r="B2" s="10" t="s">
        <v>0</v>
      </c>
      <c r="C2" s="5"/>
      <c r="D2" s="5"/>
      <c r="F2" s="9"/>
      <c r="G2" s="100" t="s">
        <v>89</v>
      </c>
      <c r="H2" s="100"/>
      <c r="I2" s="100"/>
      <c r="J2" s="100"/>
      <c r="L2" s="4"/>
    </row>
    <row r="3" spans="1:12" ht="18.75">
      <c r="A3" s="5"/>
      <c r="B3" s="92" t="s">
        <v>145</v>
      </c>
      <c r="C3" s="92"/>
      <c r="D3" s="92"/>
      <c r="E3" s="92"/>
      <c r="F3" s="92"/>
      <c r="G3" s="103" t="s">
        <v>90</v>
      </c>
      <c r="H3" s="103"/>
      <c r="I3" s="103"/>
      <c r="J3" s="103"/>
      <c r="K3" s="50"/>
      <c r="L3" s="50"/>
    </row>
    <row r="4" spans="1:13" ht="18.75">
      <c r="A4" s="5"/>
      <c r="B4" s="92" t="s">
        <v>170</v>
      </c>
      <c r="C4" s="92"/>
      <c r="D4" s="92"/>
      <c r="E4" s="92"/>
      <c r="F4" s="51" t="s">
        <v>120</v>
      </c>
      <c r="G4" s="51"/>
      <c r="H4" s="51"/>
      <c r="I4" s="101" t="s">
        <v>171</v>
      </c>
      <c r="J4" s="101"/>
      <c r="K4" s="101"/>
      <c r="L4" s="52"/>
      <c r="M4" s="27"/>
    </row>
    <row r="5" spans="1:12" ht="18.75">
      <c r="A5" s="5"/>
      <c r="B5" s="53" t="s">
        <v>105</v>
      </c>
      <c r="C5" s="53"/>
      <c r="D5" s="53"/>
      <c r="E5" s="53"/>
      <c r="F5" s="53"/>
      <c r="G5" s="53"/>
      <c r="H5" s="54" t="s">
        <v>70</v>
      </c>
      <c r="I5" s="50"/>
      <c r="J5" s="50"/>
      <c r="K5" s="50"/>
      <c r="L5" s="50"/>
    </row>
    <row r="6" spans="1:11" ht="21" customHeight="1">
      <c r="A6" s="5"/>
      <c r="B6" s="11"/>
      <c r="C6" s="37"/>
      <c r="D6" s="93" t="s">
        <v>161</v>
      </c>
      <c r="E6" s="93"/>
      <c r="F6" s="93"/>
      <c r="G6" s="93"/>
      <c r="H6" s="93"/>
      <c r="I6" s="93"/>
      <c r="J6" s="93"/>
      <c r="K6" s="93"/>
    </row>
    <row r="7" spans="1:8" ht="21">
      <c r="A7" s="33" t="s">
        <v>103</v>
      </c>
      <c r="B7" s="102" t="s">
        <v>104</v>
      </c>
      <c r="C7" s="102"/>
      <c r="D7" s="102"/>
      <c r="E7" s="102"/>
      <c r="F7" s="102"/>
      <c r="G7" s="102"/>
      <c r="H7" s="102"/>
    </row>
    <row r="8" spans="2:19" ht="18.75">
      <c r="B8" s="47" t="s">
        <v>1</v>
      </c>
      <c r="C8" s="47" t="s">
        <v>49</v>
      </c>
      <c r="D8" s="47" t="s">
        <v>91</v>
      </c>
      <c r="E8" s="47" t="s">
        <v>2</v>
      </c>
      <c r="F8" s="47" t="s">
        <v>3</v>
      </c>
      <c r="G8" s="47" t="s">
        <v>4</v>
      </c>
      <c r="H8" s="47" t="s">
        <v>5</v>
      </c>
      <c r="I8" s="47" t="s">
        <v>6</v>
      </c>
      <c r="J8" s="47" t="s">
        <v>7</v>
      </c>
      <c r="K8" s="47" t="s">
        <v>8</v>
      </c>
      <c r="L8" s="47" t="s">
        <v>135</v>
      </c>
      <c r="M8" s="11"/>
      <c r="N8" s="94" t="s">
        <v>147</v>
      </c>
      <c r="O8" s="94"/>
      <c r="P8" s="94"/>
      <c r="Q8" s="94"/>
      <c r="R8" s="94"/>
      <c r="S8" s="94"/>
    </row>
    <row r="9" spans="2:19" ht="18.75">
      <c r="B9" s="48" t="s">
        <v>139</v>
      </c>
      <c r="C9" s="73">
        <f>229*1.17</f>
        <v>267.93</v>
      </c>
      <c r="D9" s="49">
        <f>255*1.17</f>
        <v>298.34999999999997</v>
      </c>
      <c r="E9" s="49">
        <f>274*1.17</f>
        <v>320.58</v>
      </c>
      <c r="F9" s="49">
        <f>289*1.17</f>
        <v>338.13</v>
      </c>
      <c r="G9" s="49">
        <f>305*1.17</f>
        <v>356.84999999999997</v>
      </c>
      <c r="H9" s="49">
        <f>333*1.17</f>
        <v>389.60999999999996</v>
      </c>
      <c r="I9" s="49">
        <f>381*1.17</f>
        <v>445.77</v>
      </c>
      <c r="J9" s="49">
        <f>445*1.11</f>
        <v>493.95000000000005</v>
      </c>
      <c r="K9" s="49">
        <f>595*1.11</f>
        <v>660.45</v>
      </c>
      <c r="L9" s="49">
        <f>768*1.11</f>
        <v>852.48</v>
      </c>
      <c r="M9" s="11"/>
      <c r="N9" s="94"/>
      <c r="O9" s="94"/>
      <c r="P9" s="94"/>
      <c r="Q9" s="94"/>
      <c r="R9" s="94"/>
      <c r="S9" s="94"/>
    </row>
    <row r="10" spans="2:19" ht="18.75">
      <c r="B10" s="48" t="s">
        <v>140</v>
      </c>
      <c r="C10" s="49">
        <f>365*1.17</f>
        <v>427.04999999999995</v>
      </c>
      <c r="D10" s="49">
        <f>405*1.17</f>
        <v>473.84999999999997</v>
      </c>
      <c r="E10" s="49">
        <f>438*1.17</f>
        <v>512.4599999999999</v>
      </c>
      <c r="F10" s="49">
        <f>462*1.17</f>
        <v>540.54</v>
      </c>
      <c r="G10" s="49">
        <f>492*1.17</f>
        <v>575.64</v>
      </c>
      <c r="H10" s="49">
        <f>533*1.17</f>
        <v>623.61</v>
      </c>
      <c r="I10" s="49">
        <f>613*1.17</f>
        <v>717.2099999999999</v>
      </c>
      <c r="J10" s="49">
        <f>713*1.11</f>
        <v>791.4300000000001</v>
      </c>
      <c r="K10" s="49">
        <f>950*1.11</f>
        <v>1054.5</v>
      </c>
      <c r="L10" s="49">
        <f>1231*1.11</f>
        <v>1366.41</v>
      </c>
      <c r="M10" s="11"/>
      <c r="N10" s="89" t="s">
        <v>148</v>
      </c>
      <c r="O10" s="90"/>
      <c r="P10" s="90"/>
      <c r="Q10" s="90"/>
      <c r="R10" s="90"/>
      <c r="S10" s="91"/>
    </row>
    <row r="11" spans="2:19" ht="18.75">
      <c r="B11" s="48" t="s">
        <v>141</v>
      </c>
      <c r="C11" s="49">
        <f>458*1.17</f>
        <v>535.86</v>
      </c>
      <c r="D11" s="49">
        <f>506*1.17</f>
        <v>592.02</v>
      </c>
      <c r="E11" s="49">
        <f>547*1.17</f>
        <v>639.99</v>
      </c>
      <c r="F11" s="49">
        <f>577*1.17</f>
        <v>675.0899999999999</v>
      </c>
      <c r="G11" s="49">
        <f>613*1.17</f>
        <v>717.2099999999999</v>
      </c>
      <c r="H11" s="49">
        <f>666*1.17</f>
        <v>779.2199999999999</v>
      </c>
      <c r="I11" s="49">
        <f>763*1.17</f>
        <v>892.7099999999999</v>
      </c>
      <c r="J11" s="49">
        <f>891*1.11</f>
        <v>989.0100000000001</v>
      </c>
      <c r="K11" s="49">
        <f>1188*1.11</f>
        <v>1318.68</v>
      </c>
      <c r="L11" s="49">
        <f>1538*1.11</f>
        <v>1707.18</v>
      </c>
      <c r="M11" s="11"/>
      <c r="N11" s="83" t="s">
        <v>149</v>
      </c>
      <c r="O11" s="84"/>
      <c r="P11" s="84"/>
      <c r="Q11" s="84"/>
      <c r="R11" s="84"/>
      <c r="S11" s="85"/>
    </row>
    <row r="12" spans="2:19" ht="18.75">
      <c r="B12" s="48" t="s">
        <v>142</v>
      </c>
      <c r="C12" s="49">
        <f>119*1.17</f>
        <v>139.23</v>
      </c>
      <c r="D12" s="49">
        <f>128*1.17</f>
        <v>149.76</v>
      </c>
      <c r="E12" s="49">
        <f>140*1.17</f>
        <v>163.79999999999998</v>
      </c>
      <c r="F12" s="49">
        <f>148*1.17</f>
        <v>173.16</v>
      </c>
      <c r="G12" s="49">
        <f>156*1.17</f>
        <v>182.51999999999998</v>
      </c>
      <c r="H12" s="49">
        <f>174*1.17</f>
        <v>203.57999999999998</v>
      </c>
      <c r="I12" s="49">
        <f>201*1.17</f>
        <v>235.17</v>
      </c>
      <c r="J12" s="49">
        <f>233*1.11</f>
        <v>258.63</v>
      </c>
      <c r="K12" s="49">
        <f>303*1.11</f>
        <v>336.33000000000004</v>
      </c>
      <c r="L12" s="49">
        <f>385*1.11</f>
        <v>427.35</v>
      </c>
      <c r="M12" s="11"/>
      <c r="N12" s="83" t="s">
        <v>162</v>
      </c>
      <c r="O12" s="84"/>
      <c r="P12" s="84"/>
      <c r="Q12" s="84"/>
      <c r="R12" s="84"/>
      <c r="S12" s="85"/>
    </row>
    <row r="13" spans="2:19" ht="18.75">
      <c r="B13" s="48" t="s">
        <v>143</v>
      </c>
      <c r="C13" s="49">
        <f>192*1.17</f>
        <v>224.64</v>
      </c>
      <c r="D13" s="49">
        <f>205*1.17</f>
        <v>239.85</v>
      </c>
      <c r="E13" s="49">
        <f>225*1.17</f>
        <v>263.25</v>
      </c>
      <c r="F13" s="49">
        <f>239*1.17</f>
        <v>279.63</v>
      </c>
      <c r="G13" s="49">
        <f>245*1.17</f>
        <v>286.65</v>
      </c>
      <c r="H13" s="49">
        <f>277*1.17</f>
        <v>324.09</v>
      </c>
      <c r="I13" s="49">
        <f>318*1.17</f>
        <v>372.06</v>
      </c>
      <c r="J13" s="49">
        <f>374*1.11</f>
        <v>415.14000000000004</v>
      </c>
      <c r="K13" s="49">
        <f>484*1.11</f>
        <v>537.24</v>
      </c>
      <c r="L13" s="49">
        <f>614*1.11</f>
        <v>681.5400000000001</v>
      </c>
      <c r="M13" s="11"/>
      <c r="N13" s="83" t="s">
        <v>150</v>
      </c>
      <c r="O13" s="84"/>
      <c r="P13" s="84"/>
      <c r="Q13" s="84"/>
      <c r="R13" s="84"/>
      <c r="S13" s="85"/>
    </row>
    <row r="14" spans="2:19" ht="18.75">
      <c r="B14" s="48" t="s">
        <v>144</v>
      </c>
      <c r="C14" s="49">
        <f>249*1.17</f>
        <v>291.33</v>
      </c>
      <c r="D14" s="49">
        <f>257*1.17</f>
        <v>300.69</v>
      </c>
      <c r="E14" s="49">
        <f>281*1.17</f>
        <v>328.77</v>
      </c>
      <c r="F14" s="49">
        <f>300*1.17</f>
        <v>351</v>
      </c>
      <c r="G14" s="49">
        <f>308*1.17</f>
        <v>360.35999999999996</v>
      </c>
      <c r="H14" s="49">
        <f>346*1.17</f>
        <v>404.82</v>
      </c>
      <c r="I14" s="49">
        <f>397*1.17</f>
        <v>464.48999999999995</v>
      </c>
      <c r="J14" s="49">
        <f>464*1.11</f>
        <v>515.0400000000001</v>
      </c>
      <c r="K14" s="49">
        <f>608*1.11</f>
        <v>674.8800000000001</v>
      </c>
      <c r="L14" s="49">
        <f>768*1.11</f>
        <v>852.48</v>
      </c>
      <c r="M14" s="11"/>
      <c r="N14" s="86"/>
      <c r="O14" s="87"/>
      <c r="P14" s="87"/>
      <c r="Q14" s="87"/>
      <c r="R14" s="87"/>
      <c r="S14" s="88"/>
    </row>
    <row r="15" spans="2:19" ht="18.75">
      <c r="B15" s="48" t="s">
        <v>167</v>
      </c>
      <c r="C15" s="49">
        <f>84*1.17</f>
        <v>98.28</v>
      </c>
      <c r="D15" s="49">
        <f>93*1.17</f>
        <v>108.80999999999999</v>
      </c>
      <c r="E15" s="49">
        <f>95*1.17</f>
        <v>111.14999999999999</v>
      </c>
      <c r="F15" s="49">
        <f>107*1.17</f>
        <v>125.19</v>
      </c>
      <c r="G15" s="49">
        <f>113*1.17</f>
        <v>132.20999999999998</v>
      </c>
      <c r="H15" s="49">
        <f>119*1.17</f>
        <v>139.23</v>
      </c>
      <c r="I15" s="49">
        <f>137*1.17</f>
        <v>160.29</v>
      </c>
      <c r="J15" s="49">
        <f>154*1.11</f>
        <v>170.94000000000003</v>
      </c>
      <c r="K15" s="49">
        <f>203*1.11</f>
        <v>225.33</v>
      </c>
      <c r="L15" s="49">
        <f>257*1.11</f>
        <v>285.27000000000004</v>
      </c>
      <c r="M15" s="11"/>
      <c r="N15" s="83" t="s">
        <v>151</v>
      </c>
      <c r="O15" s="84"/>
      <c r="P15" s="84"/>
      <c r="Q15" s="84"/>
      <c r="R15" s="84"/>
      <c r="S15" s="85"/>
    </row>
    <row r="16" spans="2:19" ht="18.75">
      <c r="B16" s="48" t="s">
        <v>168</v>
      </c>
      <c r="C16" s="49">
        <f>135*1.17</f>
        <v>157.95</v>
      </c>
      <c r="D16" s="49">
        <f>148*1.17</f>
        <v>173.16</v>
      </c>
      <c r="E16" s="49">
        <f>154*1.17</f>
        <v>180.17999999999998</v>
      </c>
      <c r="F16" s="49">
        <f>168*1.17</f>
        <v>196.56</v>
      </c>
      <c r="G16" s="49">
        <f>180*1.17</f>
        <v>210.6</v>
      </c>
      <c r="H16" s="49">
        <f>192*1.17</f>
        <v>224.64</v>
      </c>
      <c r="I16" s="49">
        <f>219*1.17</f>
        <v>256.22999999999996</v>
      </c>
      <c r="J16" s="49">
        <f>243*1.11</f>
        <v>269.73</v>
      </c>
      <c r="K16" s="49">
        <f>324*1.11</f>
        <v>359.64000000000004</v>
      </c>
      <c r="L16" s="49">
        <f>415*1.11</f>
        <v>460.65000000000003</v>
      </c>
      <c r="M16" s="11"/>
      <c r="N16" s="83" t="s">
        <v>152</v>
      </c>
      <c r="O16" s="84"/>
      <c r="P16" s="84"/>
      <c r="Q16" s="84"/>
      <c r="R16" s="84"/>
      <c r="S16" s="85"/>
    </row>
    <row r="17" spans="2:19" ht="18.75">
      <c r="B17" s="48" t="s">
        <v>169</v>
      </c>
      <c r="C17" s="49">
        <f>166*1.17</f>
        <v>194.22</v>
      </c>
      <c r="D17" s="49">
        <f>182*1.17</f>
        <v>212.94</v>
      </c>
      <c r="E17" s="49">
        <f>192*1.17</f>
        <v>224.64</v>
      </c>
      <c r="F17" s="49">
        <f>206*1.17</f>
        <v>241.01999999999998</v>
      </c>
      <c r="G17" s="49">
        <f>225*1.17</f>
        <v>263.25</v>
      </c>
      <c r="H17" s="49">
        <f>239*1.17</f>
        <v>279.63</v>
      </c>
      <c r="I17" s="49">
        <f>274*1.17</f>
        <v>320.58</v>
      </c>
      <c r="J17" s="49">
        <f>303*1.11</f>
        <v>336.33000000000004</v>
      </c>
      <c r="K17" s="49">
        <f>403*1.11</f>
        <v>447.33000000000004</v>
      </c>
      <c r="L17" s="49">
        <f>515*1.11</f>
        <v>571.6500000000001</v>
      </c>
      <c r="M17" s="11"/>
      <c r="N17" s="83" t="s">
        <v>153</v>
      </c>
      <c r="O17" s="84"/>
      <c r="P17" s="84"/>
      <c r="Q17" s="84"/>
      <c r="R17" s="84"/>
      <c r="S17" s="85"/>
    </row>
    <row r="18" spans="1:19" ht="21">
      <c r="A18" s="33" t="s">
        <v>102</v>
      </c>
      <c r="B18" s="34" t="s">
        <v>114</v>
      </c>
      <c r="C18" s="34"/>
      <c r="D18" s="34"/>
      <c r="E18" s="34"/>
      <c r="F18" s="34"/>
      <c r="G18" s="34"/>
      <c r="M18" s="11"/>
      <c r="N18" s="83" t="s">
        <v>154</v>
      </c>
      <c r="O18" s="84"/>
      <c r="P18" s="84"/>
      <c r="Q18" s="84"/>
      <c r="R18" s="84"/>
      <c r="S18" s="85"/>
    </row>
    <row r="19" spans="2:19" ht="19.5" customHeight="1">
      <c r="B19" s="79" t="s">
        <v>1</v>
      </c>
      <c r="C19" s="58" t="s">
        <v>49</v>
      </c>
      <c r="D19" s="58" t="s">
        <v>91</v>
      </c>
      <c r="E19" s="58" t="s">
        <v>2</v>
      </c>
      <c r="F19" s="59" t="s">
        <v>3</v>
      </c>
      <c r="G19" s="59" t="s">
        <v>4</v>
      </c>
      <c r="H19" s="59" t="s">
        <v>5</v>
      </c>
      <c r="I19" s="59" t="s">
        <v>6</v>
      </c>
      <c r="J19" s="59" t="s">
        <v>7</v>
      </c>
      <c r="K19" s="59" t="s">
        <v>8</v>
      </c>
      <c r="L19" s="59" t="s">
        <v>135</v>
      </c>
      <c r="M19" s="11"/>
      <c r="N19" s="83" t="s">
        <v>155</v>
      </c>
      <c r="O19" s="84"/>
      <c r="P19" s="84"/>
      <c r="Q19" s="84"/>
      <c r="R19" s="84"/>
      <c r="S19" s="85"/>
    </row>
    <row r="20" spans="2:19" ht="14.25" customHeight="1">
      <c r="B20" s="80"/>
      <c r="C20" s="60" t="s">
        <v>59</v>
      </c>
      <c r="D20" s="60" t="s">
        <v>92</v>
      </c>
      <c r="E20" s="60" t="s">
        <v>60</v>
      </c>
      <c r="F20" s="61" t="s">
        <v>61</v>
      </c>
      <c r="G20" s="61" t="s">
        <v>50</v>
      </c>
      <c r="H20" s="61" t="s">
        <v>10</v>
      </c>
      <c r="I20" s="61" t="s">
        <v>11</v>
      </c>
      <c r="J20" s="61" t="s">
        <v>62</v>
      </c>
      <c r="K20" s="61" t="s">
        <v>123</v>
      </c>
      <c r="L20" s="61" t="s">
        <v>136</v>
      </c>
      <c r="M20" s="12"/>
      <c r="N20" s="75"/>
      <c r="O20" s="76"/>
      <c r="P20" s="76"/>
      <c r="Q20" s="76"/>
      <c r="R20" s="76"/>
      <c r="S20" s="38"/>
    </row>
    <row r="21" spans="2:19" ht="18.75">
      <c r="B21" s="48" t="s">
        <v>77</v>
      </c>
      <c r="C21" s="49">
        <f>456*1.17</f>
        <v>533.52</v>
      </c>
      <c r="D21" s="49">
        <f>497*1.17</f>
        <v>581.49</v>
      </c>
      <c r="E21" s="49">
        <f>528*1.17</f>
        <v>617.76</v>
      </c>
      <c r="F21" s="49">
        <f>554*1.17</f>
        <v>648.18</v>
      </c>
      <c r="G21" s="49">
        <f>578*1.17</f>
        <v>676.26</v>
      </c>
      <c r="H21" s="49">
        <f>640*1.17</f>
        <v>748.8</v>
      </c>
      <c r="I21" s="49">
        <f>686*1.17</f>
        <v>802.62</v>
      </c>
      <c r="J21" s="49">
        <f>830*1.11</f>
        <v>921.3000000000001</v>
      </c>
      <c r="K21" s="49">
        <f>1078*1.11</f>
        <v>1196.5800000000002</v>
      </c>
      <c r="L21" s="49">
        <f>1338*1.11</f>
        <v>1485.18</v>
      </c>
      <c r="M21" s="13"/>
      <c r="N21" s="83" t="s">
        <v>156</v>
      </c>
      <c r="O21" s="84"/>
      <c r="P21" s="84"/>
      <c r="Q21" s="84"/>
      <c r="R21" s="84"/>
      <c r="S21" s="85"/>
    </row>
    <row r="22" spans="2:19" ht="18.75">
      <c r="B22" s="48" t="s">
        <v>78</v>
      </c>
      <c r="C22" s="49">
        <f>594*1.17</f>
        <v>694.9799999999999</v>
      </c>
      <c r="D22" s="49">
        <f>649*1.17</f>
        <v>759.3299999999999</v>
      </c>
      <c r="E22" s="49">
        <f>689*1.17</f>
        <v>806.13</v>
      </c>
      <c r="F22" s="49">
        <f>725*1.17</f>
        <v>848.25</v>
      </c>
      <c r="G22" s="49">
        <f>762*1.17</f>
        <v>891.54</v>
      </c>
      <c r="H22" s="49">
        <f>837*1.17</f>
        <v>979.29</v>
      </c>
      <c r="I22" s="49">
        <f>918*1.17</f>
        <v>1074.06</v>
      </c>
      <c r="J22" s="49">
        <f>1098*1.11</f>
        <v>1218.7800000000002</v>
      </c>
      <c r="K22" s="49">
        <f>1436*1.11</f>
        <v>1593.96</v>
      </c>
      <c r="L22" s="49">
        <f>1845*1.11</f>
        <v>2047.9500000000003</v>
      </c>
      <c r="M22" s="14"/>
      <c r="N22" s="83" t="s">
        <v>157</v>
      </c>
      <c r="O22" s="84"/>
      <c r="P22" s="84"/>
      <c r="Q22" s="84"/>
      <c r="R22" s="84"/>
      <c r="S22" s="85"/>
    </row>
    <row r="23" spans="2:19" ht="18.75">
      <c r="B23" s="48" t="s">
        <v>79</v>
      </c>
      <c r="C23" s="49">
        <f>685*1.17</f>
        <v>801.4499999999999</v>
      </c>
      <c r="D23" s="49">
        <f>712*1.17</f>
        <v>833.04</v>
      </c>
      <c r="E23" s="49">
        <f>800*1.17</f>
        <v>936</v>
      </c>
      <c r="F23" s="49">
        <f>841*1.17</f>
        <v>983.9699999999999</v>
      </c>
      <c r="G23" s="49">
        <f>882*1.17</f>
        <v>1031.9399999999998</v>
      </c>
      <c r="H23" s="49">
        <f>970*1.17</f>
        <v>1134.8999999999999</v>
      </c>
      <c r="I23" s="49">
        <f>1065*1.17</f>
        <v>1246.05</v>
      </c>
      <c r="J23" s="49">
        <f>1278*1.11</f>
        <v>1418.5800000000002</v>
      </c>
      <c r="K23" s="49">
        <f>1674*1.11</f>
        <v>1858.14</v>
      </c>
      <c r="L23" s="49">
        <f>2184*1.11</f>
        <v>2424.2400000000002</v>
      </c>
      <c r="M23" s="13"/>
      <c r="N23" s="83" t="s">
        <v>158</v>
      </c>
      <c r="O23" s="84"/>
      <c r="P23" s="84"/>
      <c r="Q23" s="84"/>
      <c r="R23" s="84"/>
      <c r="S23" s="85"/>
    </row>
    <row r="24" spans="2:13" ht="18.75">
      <c r="B24" s="48" t="s">
        <v>80</v>
      </c>
      <c r="C24" s="49">
        <f>299*1.17</f>
        <v>349.83</v>
      </c>
      <c r="D24" s="49">
        <f>311*1.17</f>
        <v>363.87</v>
      </c>
      <c r="E24" s="49">
        <f>339*1.17</f>
        <v>396.63</v>
      </c>
      <c r="F24" s="49">
        <f>362*1.17</f>
        <v>423.53999999999996</v>
      </c>
      <c r="G24" s="49">
        <f>375*1.17</f>
        <v>438.75</v>
      </c>
      <c r="H24" s="49">
        <f>416*1.17</f>
        <v>486.71999999999997</v>
      </c>
      <c r="I24" s="49">
        <f>445*1.17</f>
        <v>520.65</v>
      </c>
      <c r="J24" s="49">
        <f>545*1.11</f>
        <v>604.95</v>
      </c>
      <c r="K24" s="49">
        <f>708*1.11</f>
        <v>785.8800000000001</v>
      </c>
      <c r="L24" s="49">
        <f>873*1.11</f>
        <v>969.0300000000001</v>
      </c>
      <c r="M24" s="13"/>
    </row>
    <row r="25" spans="2:13" ht="18.75">
      <c r="B25" s="48" t="s">
        <v>81</v>
      </c>
      <c r="C25" s="49">
        <f>367*1.17</f>
        <v>429.39</v>
      </c>
      <c r="D25" s="49">
        <f>385*1.17</f>
        <v>450.45</v>
      </c>
      <c r="E25" s="49">
        <f>421*1.17</f>
        <v>492.57</v>
      </c>
      <c r="F25" s="49">
        <f>449*1.17</f>
        <v>525.3299999999999</v>
      </c>
      <c r="G25" s="49">
        <f>468*1.17</f>
        <v>547.56</v>
      </c>
      <c r="H25" s="49">
        <f>523*1.17</f>
        <v>611.91</v>
      </c>
      <c r="I25" s="49">
        <f>565*1.17</f>
        <v>661.05</v>
      </c>
      <c r="J25" s="49">
        <f>685*1.11</f>
        <v>760.35</v>
      </c>
      <c r="K25" s="49">
        <f>889*1.11</f>
        <v>986.7900000000001</v>
      </c>
      <c r="L25" s="49">
        <f>1126*1.11</f>
        <v>1249.8600000000001</v>
      </c>
      <c r="M25" s="13"/>
    </row>
    <row r="26" spans="2:13" ht="18.75">
      <c r="B26" s="48" t="s">
        <v>82</v>
      </c>
      <c r="C26" s="49">
        <f>416*1.11</f>
        <v>461.76000000000005</v>
      </c>
      <c r="D26" s="49">
        <f>434*1.17</f>
        <v>507.78</v>
      </c>
      <c r="E26" s="49">
        <f>479*1.17</f>
        <v>560.43</v>
      </c>
      <c r="F26" s="49">
        <f>513*1.17</f>
        <v>600.2099999999999</v>
      </c>
      <c r="G26" s="49">
        <f>530*1.17</f>
        <v>620.0999999999999</v>
      </c>
      <c r="H26" s="49">
        <f>588*1.17</f>
        <v>687.9599999999999</v>
      </c>
      <c r="I26" s="49">
        <f>644*1.17</f>
        <v>753.4799999999999</v>
      </c>
      <c r="J26" s="49">
        <f>777*1.11</f>
        <v>862.47</v>
      </c>
      <c r="K26" s="49">
        <f>1010*1.11</f>
        <v>1121.1000000000001</v>
      </c>
      <c r="L26" s="49">
        <f>1294*1.11</f>
        <v>1436.3400000000001</v>
      </c>
      <c r="M26" s="13"/>
    </row>
    <row r="27" spans="2:14" ht="18.75">
      <c r="B27" s="48" t="s">
        <v>95</v>
      </c>
      <c r="C27" s="49">
        <f>215*1.17</f>
        <v>251.54999999999998</v>
      </c>
      <c r="D27" s="49">
        <f>214*1.17</f>
        <v>250.38</v>
      </c>
      <c r="E27" s="49">
        <f>235*1.17</f>
        <v>274.95</v>
      </c>
      <c r="F27" s="49">
        <f>249*1.17</f>
        <v>291.33</v>
      </c>
      <c r="G27" s="49">
        <f>267*1.17</f>
        <v>312.39</v>
      </c>
      <c r="H27" s="49">
        <f>289*1.17</f>
        <v>338.13</v>
      </c>
      <c r="I27" s="49">
        <f>317*1.17</f>
        <v>370.89</v>
      </c>
      <c r="J27" s="49">
        <f>347*1.11</f>
        <v>385.17</v>
      </c>
      <c r="K27" s="49">
        <f>445*1.11</f>
        <v>493.95000000000005</v>
      </c>
      <c r="L27" s="49">
        <f>511*1.11</f>
        <v>567.21</v>
      </c>
      <c r="M27" s="13"/>
      <c r="N27" s="46" t="s">
        <v>159</v>
      </c>
    </row>
    <row r="28" spans="2:13" ht="18.75">
      <c r="B28" s="48" t="s">
        <v>96</v>
      </c>
      <c r="C28" s="49">
        <f>265*1.17</f>
        <v>310.04999999999995</v>
      </c>
      <c r="D28" s="49">
        <f>271*1.17</f>
        <v>317.07</v>
      </c>
      <c r="E28" s="49">
        <f>292*1.17</f>
        <v>341.64</v>
      </c>
      <c r="F28" s="49">
        <f>313*1.17</f>
        <v>366.21</v>
      </c>
      <c r="G28" s="49">
        <f>334*1.17</f>
        <v>390.78</v>
      </c>
      <c r="H28" s="49">
        <f>359*1.17</f>
        <v>420.03</v>
      </c>
      <c r="I28" s="49">
        <f>401*1.17</f>
        <v>469.16999999999996</v>
      </c>
      <c r="J28" s="49">
        <f>438*1.11</f>
        <v>486.18000000000006</v>
      </c>
      <c r="K28" s="49">
        <f>566*1.11</f>
        <v>628.2600000000001</v>
      </c>
      <c r="L28" s="49">
        <f>684*1.11</f>
        <v>759.2400000000001</v>
      </c>
      <c r="M28" s="13"/>
    </row>
    <row r="29" spans="2:13" ht="18.75">
      <c r="B29" s="48" t="s">
        <v>97</v>
      </c>
      <c r="C29" s="49">
        <f>299*1.17</f>
        <v>349.83</v>
      </c>
      <c r="D29" s="49">
        <f>301*1.17</f>
        <v>352.16999999999996</v>
      </c>
      <c r="E29" s="49">
        <f>329*1.17</f>
        <v>384.92999999999995</v>
      </c>
      <c r="F29" s="49">
        <f>353*1.17</f>
        <v>413.01</v>
      </c>
      <c r="G29" s="49">
        <f>380*1.17</f>
        <v>444.59999999999997</v>
      </c>
      <c r="H29" s="49">
        <f>405*1.17</f>
        <v>473.84999999999997</v>
      </c>
      <c r="I29" s="49">
        <f>456*1.17</f>
        <v>533.52</v>
      </c>
      <c r="J29" s="49">
        <f>497*1.11</f>
        <v>551.6700000000001</v>
      </c>
      <c r="K29" s="49">
        <f>649*1.11</f>
        <v>720.3900000000001</v>
      </c>
      <c r="L29" s="49">
        <f>792*1.11</f>
        <v>879.1200000000001</v>
      </c>
      <c r="M29" s="13"/>
    </row>
    <row r="30" spans="1:13" ht="21">
      <c r="A30" s="33" t="s">
        <v>101</v>
      </c>
      <c r="B30" s="10" t="s">
        <v>115</v>
      </c>
      <c r="M30" s="11"/>
    </row>
    <row r="31" spans="2:13" ht="18.75">
      <c r="B31" s="79" t="s">
        <v>1</v>
      </c>
      <c r="C31" s="58" t="s">
        <v>49</v>
      </c>
      <c r="D31" s="58" t="s">
        <v>91</v>
      </c>
      <c r="E31" s="58" t="s">
        <v>2</v>
      </c>
      <c r="F31" s="59" t="s">
        <v>3</v>
      </c>
      <c r="G31" s="59" t="s">
        <v>4</v>
      </c>
      <c r="H31" s="59" t="s">
        <v>5</v>
      </c>
      <c r="I31" s="59" t="s">
        <v>6</v>
      </c>
      <c r="J31" s="59" t="s">
        <v>7</v>
      </c>
      <c r="K31" s="59" t="s">
        <v>8</v>
      </c>
      <c r="L31" s="59" t="s">
        <v>135</v>
      </c>
      <c r="M31" s="11"/>
    </row>
    <row r="32" spans="2:13" ht="18.75">
      <c r="B32" s="80"/>
      <c r="C32" s="60" t="s">
        <v>59</v>
      </c>
      <c r="D32" s="60" t="s">
        <v>92</v>
      </c>
      <c r="E32" s="60" t="s">
        <v>60</v>
      </c>
      <c r="F32" s="61" t="s">
        <v>61</v>
      </c>
      <c r="G32" s="61" t="s">
        <v>50</v>
      </c>
      <c r="H32" s="61" t="s">
        <v>10</v>
      </c>
      <c r="I32" s="61" t="s">
        <v>124</v>
      </c>
      <c r="J32" s="61" t="s">
        <v>62</v>
      </c>
      <c r="K32" s="61" t="s">
        <v>123</v>
      </c>
      <c r="L32" s="61" t="s">
        <v>136</v>
      </c>
      <c r="M32" s="12"/>
    </row>
    <row r="33" spans="2:13" ht="18.75">
      <c r="B33" s="48" t="s">
        <v>83</v>
      </c>
      <c r="C33" s="49">
        <f>679*1.17</f>
        <v>794.43</v>
      </c>
      <c r="D33" s="49">
        <f>732*1.17</f>
        <v>856.4399999999999</v>
      </c>
      <c r="E33" s="49">
        <f>795*1.17</f>
        <v>930.15</v>
      </c>
      <c r="F33" s="49">
        <f>806*1.17</f>
        <v>943.02</v>
      </c>
      <c r="G33" s="49">
        <f>859*1.17</f>
        <v>1005.03</v>
      </c>
      <c r="H33" s="49">
        <f>945*1.17</f>
        <v>1105.6499999999999</v>
      </c>
      <c r="I33" s="49">
        <f>1010*1.17</f>
        <v>1181.6999999999998</v>
      </c>
      <c r="J33" s="49">
        <f>1122*1.11</f>
        <v>1245.42</v>
      </c>
      <c r="K33" s="49">
        <f>1485*1.11</f>
        <v>1648.3500000000001</v>
      </c>
      <c r="L33" s="49">
        <f>1717*1.11</f>
        <v>1905.8700000000001</v>
      </c>
      <c r="M33" s="11"/>
    </row>
    <row r="34" spans="2:13" ht="18.75">
      <c r="B34" s="48" t="s">
        <v>84</v>
      </c>
      <c r="C34" s="49">
        <f>814*1.17</f>
        <v>952.38</v>
      </c>
      <c r="D34" s="49">
        <f>882*1.17</f>
        <v>1031.9399999999998</v>
      </c>
      <c r="E34" s="49">
        <f>954*1.17</f>
        <v>1116.1799999999998</v>
      </c>
      <c r="F34" s="49">
        <f>979*1.17</f>
        <v>1145.4299999999998</v>
      </c>
      <c r="G34" s="49">
        <f>1043*1.17</f>
        <v>1220.31</v>
      </c>
      <c r="H34" s="49">
        <f>1142*1.17</f>
        <v>1336.1399999999999</v>
      </c>
      <c r="I34" s="49">
        <f>1242*1.17</f>
        <v>1453.1399999999999</v>
      </c>
      <c r="J34" s="49">
        <f>1388*1.11</f>
        <v>1540.68</v>
      </c>
      <c r="K34" s="49">
        <f>1844*1.11</f>
        <v>2046.8400000000001</v>
      </c>
      <c r="L34" s="49">
        <f>2225*1.11</f>
        <v>2469.75</v>
      </c>
      <c r="M34" s="11"/>
    </row>
    <row r="35" spans="2:13" ht="18.75">
      <c r="B35" s="48" t="s">
        <v>85</v>
      </c>
      <c r="C35" s="49">
        <f>906*1.17</f>
        <v>1060.02</v>
      </c>
      <c r="D35" s="49">
        <f>986*1.17</f>
        <v>1153.62</v>
      </c>
      <c r="E35" s="49">
        <f>1064*1.17</f>
        <v>1244.8799999999999</v>
      </c>
      <c r="F35" s="49">
        <f>1096*1.17</f>
        <v>1282.32</v>
      </c>
      <c r="G35" s="49">
        <f>1167*1.17</f>
        <v>1365.3899999999999</v>
      </c>
      <c r="H35" s="49">
        <f>1278*1.17</f>
        <v>1495.26</v>
      </c>
      <c r="I35" s="49">
        <f>1390*1.17</f>
        <v>1626.3</v>
      </c>
      <c r="J35" s="49">
        <f>1568*1.11</f>
        <v>1740.4800000000002</v>
      </c>
      <c r="K35" s="49">
        <f>2080*1.11</f>
        <v>2308.8</v>
      </c>
      <c r="L35" s="49">
        <f>2561*1.11</f>
        <v>2842.71</v>
      </c>
      <c r="M35" s="11"/>
    </row>
    <row r="36" spans="2:13" ht="18.75">
      <c r="B36" s="48" t="s">
        <v>86</v>
      </c>
      <c r="C36" s="49">
        <f>445*1.11</f>
        <v>493.95000000000005</v>
      </c>
      <c r="D36" s="49">
        <f>479*1.17</f>
        <v>560.43</v>
      </c>
      <c r="E36" s="49">
        <f>497*1.17</f>
        <v>581.49</v>
      </c>
      <c r="F36" s="49">
        <f>524*1.17</f>
        <v>613.0799999999999</v>
      </c>
      <c r="G36" s="49">
        <f>565*1.17</f>
        <v>661.05</v>
      </c>
      <c r="H36" s="49">
        <f>614*1.17</f>
        <v>718.38</v>
      </c>
      <c r="I36" s="49">
        <f>657*1.17</f>
        <v>768.6899999999999</v>
      </c>
      <c r="J36" s="49">
        <f>728*1.11</f>
        <v>808.08</v>
      </c>
      <c r="K36" s="49">
        <f>973*1.11</f>
        <v>1080.0300000000002</v>
      </c>
      <c r="L36" s="49">
        <f>1120*1.11</f>
        <v>1243.2</v>
      </c>
      <c r="M36" s="11"/>
    </row>
    <row r="37" spans="2:13" ht="18.75">
      <c r="B37" s="48" t="s">
        <v>87</v>
      </c>
      <c r="C37" s="49">
        <f>516*1.17</f>
        <v>603.7199999999999</v>
      </c>
      <c r="D37" s="49">
        <f>558*1.17</f>
        <v>652.86</v>
      </c>
      <c r="E37" s="49">
        <f>581*1.17</f>
        <v>679.77</v>
      </c>
      <c r="F37" s="49">
        <f>615*1.17</f>
        <v>719.55</v>
      </c>
      <c r="G37" s="49">
        <f>657*1.17</f>
        <v>768.6899999999999</v>
      </c>
      <c r="H37" s="49">
        <f>713*1.17</f>
        <v>834.2099999999999</v>
      </c>
      <c r="I37" s="49">
        <f>777*1.17</f>
        <v>909.0899999999999</v>
      </c>
      <c r="J37" s="49">
        <f>869*1.11</f>
        <v>964.59</v>
      </c>
      <c r="K37" s="49">
        <f>1154*1.11</f>
        <v>1280.94</v>
      </c>
      <c r="L37" s="49">
        <f>1377*1.11</f>
        <v>1528.47</v>
      </c>
      <c r="M37" s="11"/>
    </row>
    <row r="38" spans="2:13" ht="18.75">
      <c r="B38" s="48" t="s">
        <v>88</v>
      </c>
      <c r="C38" s="49">
        <f>565*1.17</f>
        <v>661.05</v>
      </c>
      <c r="D38" s="49">
        <f>607*1.17</f>
        <v>710.1899999999999</v>
      </c>
      <c r="E38" s="49">
        <f>637*1.17</f>
        <v>745.29</v>
      </c>
      <c r="F38" s="49">
        <f>670*1.17</f>
        <v>783.9</v>
      </c>
      <c r="G38" s="49">
        <f>721*1.17</f>
        <v>843.5699999999999</v>
      </c>
      <c r="H38" s="49">
        <f>781*1.17</f>
        <v>913.77</v>
      </c>
      <c r="I38" s="49">
        <f>857*1.17</f>
        <v>1002.6899999999999</v>
      </c>
      <c r="J38" s="49">
        <f>962*1.11</f>
        <v>1067.8200000000002</v>
      </c>
      <c r="K38" s="49">
        <f>1278*1.11</f>
        <v>1418.5800000000002</v>
      </c>
      <c r="L38" s="49">
        <f>1544*1.11</f>
        <v>1713.8400000000001</v>
      </c>
      <c r="M38" s="11"/>
    </row>
    <row r="39" spans="2:13" ht="18.75">
      <c r="B39" s="48" t="s">
        <v>98</v>
      </c>
      <c r="C39" s="49">
        <f>275*1.17</f>
        <v>321.75</v>
      </c>
      <c r="D39" s="49">
        <f>293*1.17</f>
        <v>342.81</v>
      </c>
      <c r="E39" s="49">
        <f>304*1.17</f>
        <v>355.67999999999995</v>
      </c>
      <c r="F39" s="49">
        <f>324*1.17</f>
        <v>379.08</v>
      </c>
      <c r="G39" s="49">
        <f>344*1.17</f>
        <v>402.47999999999996</v>
      </c>
      <c r="H39" s="49">
        <f>379*1.17</f>
        <v>443.42999999999995</v>
      </c>
      <c r="I39" s="49">
        <f>408*1.17</f>
        <v>477.35999999999996</v>
      </c>
      <c r="J39" s="49">
        <f>470*1.11</f>
        <v>521.7</v>
      </c>
      <c r="K39" s="49">
        <f>600*1.11</f>
        <v>666.0000000000001</v>
      </c>
      <c r="L39" s="49">
        <f>683*1.11</f>
        <v>758.1300000000001</v>
      </c>
      <c r="M39" s="11"/>
    </row>
    <row r="40" spans="2:13" ht="18.75">
      <c r="B40" s="48" t="s">
        <v>99</v>
      </c>
      <c r="C40" s="49">
        <f>324*1.17</f>
        <v>379.08</v>
      </c>
      <c r="D40" s="49">
        <f>351*1.17</f>
        <v>410.66999999999996</v>
      </c>
      <c r="E40" s="49">
        <f>359*1.17</f>
        <v>420.03</v>
      </c>
      <c r="F40" s="49">
        <f>382*1.17</f>
        <v>446.94</v>
      </c>
      <c r="G40" s="49">
        <f>414*1.17</f>
        <v>484.38</v>
      </c>
      <c r="H40" s="49">
        <f>448*1.17</f>
        <v>524.16</v>
      </c>
      <c r="I40" s="49">
        <f>492*1.17</f>
        <v>575.64</v>
      </c>
      <c r="J40" s="49">
        <f>564*1.11</f>
        <v>626.0400000000001</v>
      </c>
      <c r="K40" s="49">
        <f>724*1.11</f>
        <v>803.6400000000001</v>
      </c>
      <c r="L40" s="49">
        <f>852*1.11</f>
        <v>945.72</v>
      </c>
      <c r="M40" s="11"/>
    </row>
    <row r="41" spans="2:13" ht="18.75">
      <c r="B41" s="48" t="s">
        <v>100</v>
      </c>
      <c r="C41" s="49">
        <f>358*1.17</f>
        <v>418.85999999999996</v>
      </c>
      <c r="D41" s="49">
        <f>387*1.17</f>
        <v>452.78999999999996</v>
      </c>
      <c r="E41" s="49">
        <f>398*1.17</f>
        <v>465.65999999999997</v>
      </c>
      <c r="F41" s="49">
        <f>424*1.17</f>
        <v>496.08</v>
      </c>
      <c r="G41" s="49">
        <f>456*1.17</f>
        <v>533.52</v>
      </c>
      <c r="H41" s="49">
        <f>497*1.17</f>
        <v>581.49</v>
      </c>
      <c r="I41" s="49">
        <f>545*1.17</f>
        <v>637.65</v>
      </c>
      <c r="J41" s="49">
        <f>621*1.11</f>
        <v>689.3100000000001</v>
      </c>
      <c r="K41" s="49">
        <f>803*1.11</f>
        <v>891.33</v>
      </c>
      <c r="L41" s="49">
        <f>968*1.11</f>
        <v>1074.48</v>
      </c>
      <c r="M41" s="11"/>
    </row>
    <row r="42" spans="1:13" ht="21">
      <c r="A42" s="33" t="s">
        <v>103</v>
      </c>
      <c r="B42" s="10" t="s">
        <v>116</v>
      </c>
      <c r="M42" s="11"/>
    </row>
    <row r="43" spans="2:13" ht="18.75">
      <c r="B43" s="47" t="s">
        <v>1</v>
      </c>
      <c r="C43" s="47" t="s">
        <v>49</v>
      </c>
      <c r="D43" s="47" t="s">
        <v>91</v>
      </c>
      <c r="E43" s="47" t="s">
        <v>2</v>
      </c>
      <c r="F43" s="47" t="s">
        <v>3</v>
      </c>
      <c r="G43" s="47" t="s">
        <v>4</v>
      </c>
      <c r="H43" s="47" t="s">
        <v>5</v>
      </c>
      <c r="I43" s="47" t="s">
        <v>6</v>
      </c>
      <c r="J43" s="47" t="s">
        <v>7</v>
      </c>
      <c r="K43" s="47" t="s">
        <v>8</v>
      </c>
      <c r="L43" s="47" t="s">
        <v>135</v>
      </c>
      <c r="M43" s="11"/>
    </row>
    <row r="44" spans="2:13" ht="18.75">
      <c r="B44" s="62" t="s">
        <v>140</v>
      </c>
      <c r="C44" s="49">
        <f>759*1.05*1.17</f>
        <v>932.4315</v>
      </c>
      <c r="D44" s="49">
        <f>837*1.05*1.17</f>
        <v>1028.2545</v>
      </c>
      <c r="E44" s="49">
        <f>889*1.05*1.17</f>
        <v>1092.1365</v>
      </c>
      <c r="F44" s="49">
        <f>953*1.05*1.17</f>
        <v>1170.7605</v>
      </c>
      <c r="G44" s="49">
        <f>1005*1.05*1.17</f>
        <v>1234.6425</v>
      </c>
      <c r="H44" s="49">
        <f>1110*1.05*1.17</f>
        <v>1363.635</v>
      </c>
      <c r="I44" s="49">
        <f>1250*1.05*1.17</f>
        <v>1535.625</v>
      </c>
      <c r="J44" s="49">
        <f>1413*1.17</f>
        <v>1653.2099999999998</v>
      </c>
      <c r="K44" s="49">
        <f>1669*1.05*1.17</f>
        <v>2050.3665</v>
      </c>
      <c r="L44" s="49">
        <f>2003*1.17</f>
        <v>2343.5099999999998</v>
      </c>
      <c r="M44" s="11"/>
    </row>
    <row r="45" spans="2:13" ht="18.75">
      <c r="B45" s="62" t="s">
        <v>141</v>
      </c>
      <c r="C45" s="49">
        <f>910*1.05*1.17</f>
        <v>1117.935</v>
      </c>
      <c r="D45" s="49">
        <f>1041*1.05*1.17</f>
        <v>1278.8684999999998</v>
      </c>
      <c r="E45" s="49">
        <f>1073*1.05*1.17</f>
        <v>1318.1805</v>
      </c>
      <c r="F45" s="49">
        <f>1146*1.05*1.17</f>
        <v>1407.8609999999999</v>
      </c>
      <c r="G45" s="49">
        <f>1209*1.05*1.17</f>
        <v>1485.2565</v>
      </c>
      <c r="H45" s="49">
        <f>1329*1.05*1.17</f>
        <v>1632.6765</v>
      </c>
      <c r="I45" s="49">
        <f>1502*1.05*1.17</f>
        <v>1845.207</v>
      </c>
      <c r="J45" s="49">
        <f>1706*1.17</f>
        <v>1996.02</v>
      </c>
      <c r="K45" s="49">
        <f>2104*1.17</f>
        <v>2461.68</v>
      </c>
      <c r="L45" s="49">
        <f>2525*1.17</f>
        <v>2954.25</v>
      </c>
      <c r="M45" s="11"/>
    </row>
    <row r="46" spans="1:12" ht="21">
      <c r="A46" s="5"/>
      <c r="B46" s="78" t="s">
        <v>25</v>
      </c>
      <c r="C46" s="78"/>
      <c r="D46" s="2"/>
      <c r="E46" s="2"/>
      <c r="F46" s="2"/>
      <c r="G46" s="2"/>
      <c r="H46" s="2"/>
      <c r="I46" s="2"/>
      <c r="J46" s="2"/>
      <c r="K46" s="2"/>
      <c r="L46" s="2"/>
    </row>
    <row r="47" spans="1:12" ht="18.75">
      <c r="A47" s="2"/>
      <c r="B47" s="58"/>
      <c r="C47" s="58" t="s">
        <v>49</v>
      </c>
      <c r="D47" s="58" t="s">
        <v>91</v>
      </c>
      <c r="E47" s="58" t="s">
        <v>2</v>
      </c>
      <c r="F47" s="59" t="s">
        <v>3</v>
      </c>
      <c r="G47" s="59" t="s">
        <v>4</v>
      </c>
      <c r="H47" s="59" t="s">
        <v>5</v>
      </c>
      <c r="I47" s="59" t="s">
        <v>6</v>
      </c>
      <c r="J47" s="59" t="s">
        <v>7</v>
      </c>
      <c r="K47" s="59" t="s">
        <v>8</v>
      </c>
      <c r="L47" s="59" t="s">
        <v>135</v>
      </c>
    </row>
    <row r="48" spans="1:12" ht="18.75">
      <c r="A48" s="2"/>
      <c r="B48" s="63"/>
      <c r="C48" s="60" t="s">
        <v>59</v>
      </c>
      <c r="D48" s="60" t="s">
        <v>92</v>
      </c>
      <c r="E48" s="60" t="s">
        <v>60</v>
      </c>
      <c r="F48" s="61" t="s">
        <v>61</v>
      </c>
      <c r="G48" s="61" t="s">
        <v>50</v>
      </c>
      <c r="H48" s="61" t="s">
        <v>10</v>
      </c>
      <c r="I48" s="61" t="s">
        <v>11</v>
      </c>
      <c r="J48" s="61" t="s">
        <v>62</v>
      </c>
      <c r="K48" s="61" t="s">
        <v>123</v>
      </c>
      <c r="L48" s="61" t="s">
        <v>136</v>
      </c>
    </row>
    <row r="49" spans="2:12" ht="18.75">
      <c r="B49" s="64" t="s">
        <v>26</v>
      </c>
      <c r="C49" s="65">
        <f>236*1.05*1.17</f>
        <v>289.926</v>
      </c>
      <c r="D49" s="66">
        <f>244*1.05*1.17</f>
        <v>299.75399999999996</v>
      </c>
      <c r="E49" s="66">
        <f>258*1.05*1.17</f>
        <v>316.95300000000003</v>
      </c>
      <c r="F49" s="66">
        <f>283*1.05*1.17</f>
        <v>347.6655</v>
      </c>
      <c r="G49" s="66">
        <f>312*1.05*1.17</f>
        <v>383.29200000000003</v>
      </c>
      <c r="H49" s="66">
        <f>358*1.05*1.17</f>
        <v>439.803</v>
      </c>
      <c r="I49" s="66">
        <f>401*1.05*1.17</f>
        <v>492.6285</v>
      </c>
      <c r="J49" s="66">
        <f>474*1.17</f>
        <v>554.5799999999999</v>
      </c>
      <c r="K49" s="66">
        <f>569*1.17</f>
        <v>665.7299999999999</v>
      </c>
      <c r="L49" s="66">
        <f>683*1.17</f>
        <v>799.1099999999999</v>
      </c>
    </row>
    <row r="50" spans="2:12" ht="18.75">
      <c r="B50" s="64" t="s">
        <v>27</v>
      </c>
      <c r="C50" s="65">
        <f>307*1.05*1.17</f>
        <v>377.1495</v>
      </c>
      <c r="D50" s="66">
        <f>320*1.05*1.17</f>
        <v>393.12</v>
      </c>
      <c r="E50" s="66">
        <f>332*1.05*1.17</f>
        <v>407.862</v>
      </c>
      <c r="F50" s="66">
        <f>364*1.05*1.17</f>
        <v>447.174</v>
      </c>
      <c r="G50" s="66">
        <f>396*1.05*1.17</f>
        <v>486.486</v>
      </c>
      <c r="H50" s="66">
        <f>459*1.05*1.17</f>
        <v>563.8815000000001</v>
      </c>
      <c r="I50" s="66">
        <f>525*1.05*1.17</f>
        <v>644.9625</v>
      </c>
      <c r="J50" s="66">
        <f>584*1.17</f>
        <v>683.28</v>
      </c>
      <c r="K50" s="66">
        <f>701*1.17</f>
        <v>820.17</v>
      </c>
      <c r="L50" s="66">
        <f>841*1.17</f>
        <v>983.9699999999999</v>
      </c>
    </row>
    <row r="51" spans="1:2" ht="21">
      <c r="A51" s="5"/>
      <c r="B51" s="10" t="s">
        <v>28</v>
      </c>
    </row>
    <row r="52" spans="2:12" ht="18.75">
      <c r="B52" s="58"/>
      <c r="C52" s="58" t="s">
        <v>49</v>
      </c>
      <c r="D52" s="58" t="s">
        <v>91</v>
      </c>
      <c r="E52" s="58" t="s">
        <v>2</v>
      </c>
      <c r="F52" s="59" t="s">
        <v>3</v>
      </c>
      <c r="G52" s="59" t="s">
        <v>4</v>
      </c>
      <c r="H52" s="59" t="s">
        <v>5</v>
      </c>
      <c r="I52" s="59" t="s">
        <v>6</v>
      </c>
      <c r="J52" s="59" t="s">
        <v>7</v>
      </c>
      <c r="K52" s="59" t="s">
        <v>8</v>
      </c>
      <c r="L52" s="59" t="s">
        <v>135</v>
      </c>
    </row>
    <row r="53" spans="2:12" ht="18.75">
      <c r="B53" s="64" t="s">
        <v>94</v>
      </c>
      <c r="C53" s="67">
        <f>294*1.05*1.17</f>
        <v>361.179</v>
      </c>
      <c r="D53" s="67">
        <f>330*1.05*1.17</f>
        <v>405.405</v>
      </c>
      <c r="E53" s="67">
        <f>335*1.05*1.17</f>
        <v>411.54749999999996</v>
      </c>
      <c r="F53" s="67">
        <f>344*1.05*1.17</f>
        <v>422.604</v>
      </c>
      <c r="G53" s="67">
        <f>361*1.05*1.17</f>
        <v>443.4885</v>
      </c>
      <c r="H53" s="67">
        <f>400*1.05*1.17</f>
        <v>491.4</v>
      </c>
      <c r="I53" s="67">
        <f>452*1.05*1.17</f>
        <v>555.282</v>
      </c>
      <c r="J53" s="67">
        <f>513*1.17</f>
        <v>600.2099999999999</v>
      </c>
      <c r="K53" s="67">
        <f>670*1.17</f>
        <v>783.9</v>
      </c>
      <c r="L53" s="67">
        <f>804*1.17</f>
        <v>940.68</v>
      </c>
    </row>
    <row r="54" spans="1:2" ht="21">
      <c r="A54" s="5"/>
      <c r="B54" s="10" t="s">
        <v>29</v>
      </c>
    </row>
    <row r="55" spans="2:12" ht="18.75">
      <c r="B55" s="58"/>
      <c r="C55" s="58" t="s">
        <v>49</v>
      </c>
      <c r="D55" s="58" t="s">
        <v>91</v>
      </c>
      <c r="E55" s="58" t="s">
        <v>2</v>
      </c>
      <c r="F55" s="59" t="s">
        <v>3</v>
      </c>
      <c r="G55" s="59" t="s">
        <v>4</v>
      </c>
      <c r="H55" s="59" t="s">
        <v>5</v>
      </c>
      <c r="I55" s="59" t="s">
        <v>6</v>
      </c>
      <c r="J55" s="59" t="s">
        <v>7</v>
      </c>
      <c r="K55" s="59" t="s">
        <v>8</v>
      </c>
      <c r="L55" s="59" t="s">
        <v>135</v>
      </c>
    </row>
    <row r="56" spans="2:12" ht="18.75">
      <c r="B56" s="64" t="s">
        <v>30</v>
      </c>
      <c r="C56" s="65">
        <f>74*1.05*1.17</f>
        <v>90.90899999999999</v>
      </c>
      <c r="D56" s="66">
        <f>76*1.05*1.17</f>
        <v>93.36599999999999</v>
      </c>
      <c r="E56" s="67">
        <f>82*1.05*1.17</f>
        <v>100.73700000000001</v>
      </c>
      <c r="F56" s="67">
        <f>85*1.05*1.17</f>
        <v>104.4225</v>
      </c>
      <c r="G56" s="67">
        <f>86*1.05*1.17</f>
        <v>105.651</v>
      </c>
      <c r="H56" s="67">
        <f>102*1.05*1.17</f>
        <v>125.307</v>
      </c>
      <c r="I56" s="67">
        <f>109*1.05*1.17</f>
        <v>133.9065</v>
      </c>
      <c r="J56" s="67">
        <f>114*1.05*1.17</f>
        <v>140.049</v>
      </c>
      <c r="K56" s="67">
        <f>139*1.17</f>
        <v>162.63</v>
      </c>
      <c r="L56" s="67">
        <f>167*1.17</f>
        <v>195.39</v>
      </c>
    </row>
    <row r="57" spans="2:12" ht="18.75">
      <c r="B57" s="64" t="s">
        <v>31</v>
      </c>
      <c r="C57" s="65">
        <f>147*1.05*1.17</f>
        <v>180.5895</v>
      </c>
      <c r="D57" s="66">
        <f>152*1.05*1.17</f>
        <v>186.73199999999997</v>
      </c>
      <c r="E57" s="67">
        <f>164*1.05*1.17</f>
        <v>201.47400000000002</v>
      </c>
      <c r="F57" s="67">
        <f>169*1.05*1.17</f>
        <v>207.6165</v>
      </c>
      <c r="G57" s="67">
        <f>172*1.05*1.17</f>
        <v>211.302</v>
      </c>
      <c r="H57" s="67">
        <f>204*1.05*1.17</f>
        <v>250.614</v>
      </c>
      <c r="I57" s="67">
        <f>218*1.05*1.17</f>
        <v>267.813</v>
      </c>
      <c r="J57" s="67">
        <f>228*1.05*1.17</f>
        <v>280.098</v>
      </c>
      <c r="K57" s="67">
        <f>278*1.17</f>
        <v>325.26</v>
      </c>
      <c r="L57" s="67">
        <f>334*1.17</f>
        <v>390.78</v>
      </c>
    </row>
    <row r="58" ht="21">
      <c r="B58" s="10" t="s">
        <v>46</v>
      </c>
    </row>
    <row r="59" spans="2:12" ht="18.75">
      <c r="B59" s="55" t="s">
        <v>47</v>
      </c>
      <c r="C59" s="59" t="s">
        <v>3</v>
      </c>
      <c r="D59" s="59" t="s">
        <v>5</v>
      </c>
      <c r="E59" s="59" t="s">
        <v>6</v>
      </c>
      <c r="F59" s="59" t="s">
        <v>126</v>
      </c>
      <c r="G59" s="59" t="s">
        <v>7</v>
      </c>
      <c r="H59" s="59" t="s">
        <v>127</v>
      </c>
      <c r="I59" s="59" t="s">
        <v>128</v>
      </c>
      <c r="J59" s="59" t="s">
        <v>129</v>
      </c>
      <c r="K59" s="59" t="s">
        <v>9</v>
      </c>
      <c r="L59" s="59" t="s">
        <v>138</v>
      </c>
    </row>
    <row r="60" spans="2:12" ht="18.75">
      <c r="B60" s="68" t="s">
        <v>122</v>
      </c>
      <c r="C60" s="67">
        <f>334*1.05*1.17</f>
        <v>410.31899999999996</v>
      </c>
      <c r="D60" s="67">
        <f>396*1.05*1.17</f>
        <v>486.486</v>
      </c>
      <c r="E60" s="67">
        <f>426*1.05*1.17</f>
        <v>523.341</v>
      </c>
      <c r="F60" s="67">
        <f>430*1.05*1.17</f>
        <v>528.255</v>
      </c>
      <c r="G60" s="67">
        <f>469*1.05*1.17</f>
        <v>576.1665</v>
      </c>
      <c r="H60" s="67">
        <f>508*1.05*1.17</f>
        <v>624.078</v>
      </c>
      <c r="I60" s="67">
        <f>551*1.05*1.17</f>
        <v>676.9035</v>
      </c>
      <c r="J60" s="67">
        <f>614*1.17</f>
        <v>718.38</v>
      </c>
      <c r="K60" s="67">
        <f>678*1.17</f>
        <v>793.26</v>
      </c>
      <c r="L60" s="67">
        <f>784*1.17</f>
        <v>917.28</v>
      </c>
    </row>
    <row r="61" spans="2:12" ht="18.75">
      <c r="B61" s="69" t="s">
        <v>125</v>
      </c>
      <c r="C61" s="70">
        <f>514*1.05*1.17</f>
        <v>631.4490000000001</v>
      </c>
      <c r="D61" s="70">
        <f>609*1.05*1.17</f>
        <v>748.1565</v>
      </c>
      <c r="E61" s="70">
        <f>655*1.05*1.17</f>
        <v>804.6674999999999</v>
      </c>
      <c r="F61" s="70">
        <f>662*1.05*1.17</f>
        <v>813.2669999999999</v>
      </c>
      <c r="G61" s="70">
        <f>721*1.05*1.17</f>
        <v>885.7485</v>
      </c>
      <c r="H61" s="70">
        <f>782*1.05*1.17</f>
        <v>960.687</v>
      </c>
      <c r="I61" s="70">
        <f>847*1.05*1.17</f>
        <v>1040.5394999999999</v>
      </c>
      <c r="J61" s="70">
        <f>945*1.17</f>
        <v>1105.6499999999999</v>
      </c>
      <c r="K61" s="70">
        <f>1043*1.17</f>
        <v>1220.31</v>
      </c>
      <c r="L61" s="70">
        <f>1206*1.17</f>
        <v>1411.02</v>
      </c>
    </row>
    <row r="62" spans="1:2" ht="21">
      <c r="A62" s="33" t="s">
        <v>103</v>
      </c>
      <c r="B62" s="10" t="s">
        <v>117</v>
      </c>
    </row>
    <row r="63" spans="2:12" ht="18.75">
      <c r="B63" s="55" t="s">
        <v>48</v>
      </c>
      <c r="C63" s="58" t="s">
        <v>49</v>
      </c>
      <c r="D63" s="71" t="s">
        <v>91</v>
      </c>
      <c r="E63" s="58" t="s">
        <v>2</v>
      </c>
      <c r="F63" s="59" t="s">
        <v>3</v>
      </c>
      <c r="G63" s="59" t="s">
        <v>4</v>
      </c>
      <c r="H63" s="59" t="s">
        <v>5</v>
      </c>
      <c r="I63" s="59" t="s">
        <v>6</v>
      </c>
      <c r="J63" s="59" t="s">
        <v>7</v>
      </c>
      <c r="K63" s="59" t="s">
        <v>8</v>
      </c>
      <c r="L63" s="59" t="s">
        <v>135</v>
      </c>
    </row>
    <row r="64" spans="2:12" ht="18.75">
      <c r="B64" s="72" t="s">
        <v>118</v>
      </c>
      <c r="C64" s="49">
        <f>713*1.05*1.17</f>
        <v>875.9205</v>
      </c>
      <c r="D64" s="49">
        <f>724*1.05*1.17</f>
        <v>889.434</v>
      </c>
      <c r="E64" s="49">
        <f>739*1.05*1.17</f>
        <v>907.8615</v>
      </c>
      <c r="F64" s="49">
        <f>753*1.05*1.17</f>
        <v>925.0604999999999</v>
      </c>
      <c r="G64" s="49">
        <f>766*1.05*1.17</f>
        <v>941.0310000000001</v>
      </c>
      <c r="H64" s="49">
        <f>792*1.05*1.17</f>
        <v>972.972</v>
      </c>
      <c r="I64" s="49">
        <f>829*1.05*1.17</f>
        <v>1018.4265</v>
      </c>
      <c r="J64" s="49">
        <f>924*1.17</f>
        <v>1081.08</v>
      </c>
      <c r="K64" s="49">
        <f>1041*1.17</f>
        <v>1217.97</v>
      </c>
      <c r="L64" s="49">
        <f>1249*1.17</f>
        <v>1461.33</v>
      </c>
    </row>
    <row r="65" spans="2:12" ht="18.75">
      <c r="B65" s="72" t="s">
        <v>119</v>
      </c>
      <c r="C65" s="49">
        <f>950*1.05*1.17</f>
        <v>1167.0749999999998</v>
      </c>
      <c r="D65" s="49">
        <f>966*1.05*1.17</f>
        <v>1186.731</v>
      </c>
      <c r="E65" s="49">
        <f>977*1.05*1.17</f>
        <v>1200.2445</v>
      </c>
      <c r="F65" s="49">
        <f>992*1.05*1.17</f>
        <v>1218.672</v>
      </c>
      <c r="G65" s="49">
        <f>1003*1.05*1.17</f>
        <v>1232.1855</v>
      </c>
      <c r="H65" s="49">
        <f>1030*1.05*1.17</f>
        <v>1265.355</v>
      </c>
      <c r="I65" s="49">
        <f>1071*1.05*1.17</f>
        <v>1315.7234999999998</v>
      </c>
      <c r="J65" s="49">
        <f>1177*1.17</f>
        <v>1377.09</v>
      </c>
      <c r="K65" s="49">
        <f>1346*1.17</f>
        <v>1574.82</v>
      </c>
      <c r="L65" s="49">
        <f>1615*1.17</f>
        <v>1889.55</v>
      </c>
    </row>
    <row r="66" ht="21">
      <c r="B66" s="10" t="s">
        <v>121</v>
      </c>
    </row>
    <row r="67" spans="2:12" ht="18.75">
      <c r="B67" s="55"/>
      <c r="C67" s="56" t="s">
        <v>49</v>
      </c>
      <c r="D67" s="57" t="s">
        <v>91</v>
      </c>
      <c r="E67" s="58" t="s">
        <v>2</v>
      </c>
      <c r="F67" s="59" t="s">
        <v>3</v>
      </c>
      <c r="G67" s="59" t="s">
        <v>4</v>
      </c>
      <c r="H67" s="59" t="s">
        <v>5</v>
      </c>
      <c r="I67" s="59" t="s">
        <v>6</v>
      </c>
      <c r="J67" s="59" t="s">
        <v>7</v>
      </c>
      <c r="K67" s="59" t="s">
        <v>8</v>
      </c>
      <c r="L67" s="59" t="s">
        <v>135</v>
      </c>
    </row>
    <row r="68" spans="2:12" ht="15">
      <c r="B68" s="81" t="s">
        <v>130</v>
      </c>
      <c r="C68" s="98">
        <f>396*1.05*1.17</f>
        <v>486.486</v>
      </c>
      <c r="D68" s="98">
        <f>429*1.05*1.17</f>
        <v>527.0265</v>
      </c>
      <c r="E68" s="95">
        <f>462*1.05*1.17</f>
        <v>567.567</v>
      </c>
      <c r="F68" s="95">
        <f>495*1.05*1.17</f>
        <v>608.1075</v>
      </c>
      <c r="G68" s="95">
        <f>528*1.05*1.17</f>
        <v>648.6479999999999</v>
      </c>
      <c r="H68" s="95">
        <f>594*1.05*1.17</f>
        <v>729.729</v>
      </c>
      <c r="I68" s="95">
        <f>726*1.05*1.17</f>
        <v>891.8910000000001</v>
      </c>
      <c r="J68" s="95">
        <f>799*1.05*1.17</f>
        <v>981.5715</v>
      </c>
      <c r="K68" s="95">
        <f>908*1.17</f>
        <v>1062.36</v>
      </c>
      <c r="L68" s="95">
        <f>1090*1.17</f>
        <v>1275.3</v>
      </c>
    </row>
    <row r="69" spans="2:12" ht="21" customHeight="1">
      <c r="B69" s="97"/>
      <c r="C69" s="99"/>
      <c r="D69" s="99"/>
      <c r="E69" s="96"/>
      <c r="F69" s="96"/>
      <c r="G69" s="96"/>
      <c r="H69" s="96"/>
      <c r="I69" s="96"/>
      <c r="J69" s="96"/>
      <c r="K69" s="96"/>
      <c r="L69" s="96"/>
    </row>
    <row r="71" ht="21">
      <c r="B71" s="35" t="s">
        <v>146</v>
      </c>
    </row>
  </sheetData>
  <sheetProtection/>
  <mergeCells count="35">
    <mergeCell ref="L68:L69"/>
    <mergeCell ref="G2:J2"/>
    <mergeCell ref="I4:K4"/>
    <mergeCell ref="G68:G69"/>
    <mergeCell ref="H68:H69"/>
    <mergeCell ref="I68:I69"/>
    <mergeCell ref="J68:J69"/>
    <mergeCell ref="K68:K69"/>
    <mergeCell ref="B7:H7"/>
    <mergeCell ref="G3:J3"/>
    <mergeCell ref="F68:F69"/>
    <mergeCell ref="B46:C46"/>
    <mergeCell ref="B19:B20"/>
    <mergeCell ref="B31:B32"/>
    <mergeCell ref="B68:B69"/>
    <mergeCell ref="C68:C69"/>
    <mergeCell ref="D68:D69"/>
    <mergeCell ref="E68:E69"/>
    <mergeCell ref="B3:F3"/>
    <mergeCell ref="B4:E4"/>
    <mergeCell ref="D6:K6"/>
    <mergeCell ref="N8:S9"/>
    <mergeCell ref="N10:S10"/>
    <mergeCell ref="N11:S11"/>
    <mergeCell ref="N12:S12"/>
    <mergeCell ref="N13:S13"/>
    <mergeCell ref="N19:S19"/>
    <mergeCell ref="N21:S21"/>
    <mergeCell ref="N22:S22"/>
    <mergeCell ref="N23:S23"/>
    <mergeCell ref="N18:S18"/>
    <mergeCell ref="N14:S14"/>
    <mergeCell ref="N15:S15"/>
    <mergeCell ref="N16:S16"/>
    <mergeCell ref="N17:S17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A49">
      <selection activeCell="M75" sqref="M75"/>
    </sheetView>
  </sheetViews>
  <sheetFormatPr defaultColWidth="9.140625" defaultRowHeight="15"/>
  <cols>
    <col min="1" max="1" width="13.28125" style="0" customWidth="1"/>
    <col min="3" max="3" width="15.57421875" style="0" customWidth="1"/>
    <col min="4" max="4" width="7.57421875" style="0" customWidth="1"/>
    <col min="5" max="5" width="7.421875" style="0" customWidth="1"/>
    <col min="6" max="6" width="6.8515625" style="0" customWidth="1"/>
    <col min="7" max="7" width="7.7109375" style="0" customWidth="1"/>
    <col min="8" max="8" width="7.8515625" style="0" customWidth="1"/>
    <col min="9" max="9" width="7.57421875" style="0" customWidth="1"/>
    <col min="10" max="10" width="7.421875" style="0" customWidth="1"/>
    <col min="11" max="12" width="7.57421875" style="0" customWidth="1"/>
    <col min="13" max="13" width="7.140625" style="0" customWidth="1"/>
  </cols>
  <sheetData>
    <row r="1" spans="1:8" ht="18.75">
      <c r="A1" s="5"/>
      <c r="C1" s="5"/>
      <c r="F1" s="9"/>
      <c r="G1" s="9"/>
      <c r="H1" s="9"/>
    </row>
    <row r="2" spans="1:13" ht="26.25">
      <c r="A2" s="5"/>
      <c r="B2" s="10" t="s">
        <v>0</v>
      </c>
      <c r="C2" s="5"/>
      <c r="F2" s="9"/>
      <c r="G2" s="41" t="s">
        <v>89</v>
      </c>
      <c r="H2" s="41"/>
      <c r="I2" s="41"/>
      <c r="J2" s="41"/>
      <c r="K2" s="44" t="s">
        <v>171</v>
      </c>
      <c r="L2" s="44"/>
      <c r="M2" s="44"/>
    </row>
    <row r="3" spans="1:10" ht="23.25">
      <c r="A3" s="5"/>
      <c r="B3" s="40" t="s">
        <v>145</v>
      </c>
      <c r="C3" s="40"/>
      <c r="D3" s="40"/>
      <c r="E3" s="40"/>
      <c r="F3" s="9"/>
      <c r="G3" s="42" t="s">
        <v>106</v>
      </c>
      <c r="H3" s="42"/>
      <c r="I3" s="42"/>
      <c r="J3" s="42"/>
    </row>
    <row r="4" spans="1:13" ht="23.25">
      <c r="A4" s="5"/>
      <c r="B4" s="40" t="s">
        <v>170</v>
      </c>
      <c r="C4" s="40"/>
      <c r="D4" s="40"/>
      <c r="E4" s="40"/>
      <c r="F4" s="42"/>
      <c r="G4" s="42"/>
      <c r="H4" s="42"/>
      <c r="I4" s="117" t="s">
        <v>69</v>
      </c>
      <c r="J4" s="117"/>
      <c r="K4" s="117"/>
      <c r="L4" s="117"/>
      <c r="M4" s="43"/>
    </row>
    <row r="5" spans="1:12" ht="18.75">
      <c r="A5" s="5"/>
      <c r="B5" s="9" t="s">
        <v>105</v>
      </c>
      <c r="C5" s="5"/>
      <c r="D5" s="9"/>
      <c r="E5" s="9"/>
      <c r="F5" s="9"/>
      <c r="G5" s="9"/>
      <c r="I5" s="82" t="s">
        <v>70</v>
      </c>
      <c r="J5" s="82"/>
      <c r="K5" s="82"/>
      <c r="L5" s="82"/>
    </row>
    <row r="6" spans="1:11" ht="21">
      <c r="A6" s="5"/>
      <c r="C6" s="5"/>
      <c r="D6" s="6"/>
      <c r="E6" s="118" t="s">
        <v>160</v>
      </c>
      <c r="F6" s="118"/>
      <c r="G6" s="118"/>
      <c r="H6" s="118"/>
      <c r="I6" s="118"/>
      <c r="J6" s="118"/>
      <c r="K6" s="118"/>
    </row>
    <row r="7" spans="1:13" ht="21">
      <c r="A7" s="33" t="s">
        <v>103</v>
      </c>
      <c r="B7" s="10" t="s">
        <v>107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">
      <c r="A8" s="104"/>
      <c r="B8" s="107" t="s">
        <v>12</v>
      </c>
      <c r="C8" s="108"/>
      <c r="D8" s="23" t="s">
        <v>49</v>
      </c>
      <c r="E8" s="23" t="s">
        <v>91</v>
      </c>
      <c r="F8" s="23" t="s">
        <v>2</v>
      </c>
      <c r="G8" s="24" t="s">
        <v>3</v>
      </c>
      <c r="H8" s="24" t="s">
        <v>4</v>
      </c>
      <c r="I8" s="24" t="s">
        <v>5</v>
      </c>
      <c r="J8" s="24" t="s">
        <v>6</v>
      </c>
      <c r="K8" s="24" t="s">
        <v>7</v>
      </c>
      <c r="L8" s="24" t="s">
        <v>8</v>
      </c>
      <c r="M8" s="15" t="s">
        <v>135</v>
      </c>
    </row>
    <row r="9" spans="1:13" ht="15">
      <c r="A9" s="104"/>
      <c r="B9" s="105" t="s">
        <v>66</v>
      </c>
      <c r="C9" s="106"/>
      <c r="D9" s="21">
        <f>174*1.05*1.17</f>
        <v>213.75900000000001</v>
      </c>
      <c r="E9" s="21">
        <f>190*1.05*1.17</f>
        <v>233.415</v>
      </c>
      <c r="F9" s="21">
        <f>213*1.05*1.17</f>
        <v>261.6705</v>
      </c>
      <c r="G9" s="21">
        <f>220*1.05*1.17</f>
        <v>270.27</v>
      </c>
      <c r="H9" s="21">
        <f>275*1.05*1.17</f>
        <v>337.8375</v>
      </c>
      <c r="I9" s="21">
        <f>278*1.05*1.17</f>
        <v>341.523</v>
      </c>
      <c r="J9" s="21">
        <f>293*1.17</f>
        <v>342.81</v>
      </c>
      <c r="K9" s="21">
        <f>309*1.05*1.17</f>
        <v>379.6065</v>
      </c>
      <c r="L9" s="21">
        <f>371*1.17</f>
        <v>434.07</v>
      </c>
      <c r="M9" s="21">
        <f>445*1.17</f>
        <v>520.65</v>
      </c>
    </row>
    <row r="10" spans="1:13" ht="15">
      <c r="A10" s="104"/>
      <c r="B10" s="20" t="s">
        <v>67</v>
      </c>
      <c r="C10" s="20"/>
      <c r="D10" s="21">
        <f>277*1.05*1.17</f>
        <v>340.2945</v>
      </c>
      <c r="E10" s="21">
        <f>301*1.05*1.17</f>
        <v>369.7785</v>
      </c>
      <c r="F10" s="21">
        <f>339*1.05*1.17</f>
        <v>416.46149999999994</v>
      </c>
      <c r="G10" s="21">
        <f>354*1.05*1.17</f>
        <v>434.88899999999995</v>
      </c>
      <c r="H10" s="21">
        <f>438*1.05*1.17</f>
        <v>538.083</v>
      </c>
      <c r="I10" s="21">
        <f>446*1.05*1.17</f>
        <v>547.911</v>
      </c>
      <c r="J10" s="21">
        <f>472*1.17</f>
        <v>552.24</v>
      </c>
      <c r="K10" s="21">
        <f>496*1.05*1.17</f>
        <v>609.336</v>
      </c>
      <c r="L10" s="21">
        <f>595*1.17</f>
        <v>696.15</v>
      </c>
      <c r="M10" s="21">
        <f>714*1.17</f>
        <v>835.38</v>
      </c>
    </row>
    <row r="11" spans="1:13" ht="15">
      <c r="A11" s="104"/>
      <c r="B11" s="105" t="s">
        <v>68</v>
      </c>
      <c r="C11" s="106"/>
      <c r="D11" s="21">
        <f>351*1.05*1.17</f>
        <v>431.20349999999996</v>
      </c>
      <c r="E11" s="21">
        <f>377*1.05*1.17</f>
        <v>463.1445</v>
      </c>
      <c r="F11" s="21">
        <f>422*1.05*1.17</f>
        <v>518.427</v>
      </c>
      <c r="G11" s="21">
        <f>440*1.05*1.17</f>
        <v>540.54</v>
      </c>
      <c r="H11" s="21">
        <f>545*1.05*1.17</f>
        <v>669.5324999999999</v>
      </c>
      <c r="I11" s="21">
        <f>559*1.05*1.17</f>
        <v>686.7315</v>
      </c>
      <c r="J11" s="21">
        <f>586*1.17</f>
        <v>685.62</v>
      </c>
      <c r="K11" s="21">
        <f>620*1.05*1.17</f>
        <v>761.67</v>
      </c>
      <c r="L11" s="21">
        <f>744*1.17</f>
        <v>870.4799999999999</v>
      </c>
      <c r="M11" s="21">
        <f>893*1.17</f>
        <v>1044.81</v>
      </c>
    </row>
    <row r="12" spans="1:13" ht="15">
      <c r="A12" s="104"/>
      <c r="B12" s="20" t="s">
        <v>63</v>
      </c>
      <c r="C12" s="20"/>
      <c r="D12" s="21">
        <f>104*1.05*1.17</f>
        <v>127.764</v>
      </c>
      <c r="E12" s="21">
        <f>109*1.05*1.17</f>
        <v>133.9065</v>
      </c>
      <c r="F12" s="21">
        <f>113*1.05*1.17</f>
        <v>138.8205</v>
      </c>
      <c r="G12" s="21">
        <f>122*1.05*1.17</f>
        <v>149.87699999999998</v>
      </c>
      <c r="H12" s="21">
        <f>137*1.05*1.17</f>
        <v>168.3045</v>
      </c>
      <c r="I12" s="21">
        <f>139*1.05*1.17</f>
        <v>170.7615</v>
      </c>
      <c r="J12" s="21">
        <f>149*1.17</f>
        <v>174.32999999999998</v>
      </c>
      <c r="K12" s="21">
        <f>165*1.05*1.17</f>
        <v>202.7025</v>
      </c>
      <c r="L12" s="21">
        <f>198*1.17</f>
        <v>231.66</v>
      </c>
      <c r="M12" s="21">
        <f>238*1.17</f>
        <v>278.46</v>
      </c>
    </row>
    <row r="13" spans="1:13" ht="15">
      <c r="A13" s="104"/>
      <c r="B13" s="105" t="s">
        <v>64</v>
      </c>
      <c r="C13" s="106"/>
      <c r="D13" s="21">
        <f>167*1.05*1.17</f>
        <v>205.15949999999998</v>
      </c>
      <c r="E13" s="21">
        <f>170*1.05*1.17</f>
        <v>208.845</v>
      </c>
      <c r="F13" s="21">
        <f>172*1.05*1.17</f>
        <v>211.302</v>
      </c>
      <c r="G13" s="21">
        <f>191*1.05*1.17</f>
        <v>234.6435</v>
      </c>
      <c r="H13" s="21">
        <f>217*1.05*1.17</f>
        <v>266.5845</v>
      </c>
      <c r="I13" s="21">
        <f>224*1.05*1.17</f>
        <v>275.184</v>
      </c>
      <c r="J13" s="21">
        <f>242*1.17</f>
        <v>283.14</v>
      </c>
      <c r="K13" s="21">
        <f>270*1.05*1.17</f>
        <v>331.695</v>
      </c>
      <c r="L13" s="21">
        <f>324*1.17</f>
        <v>379.08</v>
      </c>
      <c r="M13" s="21">
        <f>389*1.17</f>
        <v>455.13</v>
      </c>
    </row>
    <row r="14" spans="1:13" ht="15">
      <c r="A14" s="104"/>
      <c r="B14" s="105" t="s">
        <v>65</v>
      </c>
      <c r="C14" s="106"/>
      <c r="D14" s="21">
        <f>210*1.05*1.17</f>
        <v>257.98499999999996</v>
      </c>
      <c r="E14" s="21">
        <f>211*1.05*1.17</f>
        <v>259.2135</v>
      </c>
      <c r="F14" s="21">
        <f>213*1.05*1.17</f>
        <v>261.6705</v>
      </c>
      <c r="G14" s="21">
        <f>237*1.05*1.17</f>
        <v>291.1545</v>
      </c>
      <c r="H14" s="21">
        <f>270*1.05*1.17</f>
        <v>331.695</v>
      </c>
      <c r="I14" s="21">
        <f>276*1.05*1.17</f>
        <v>339.066</v>
      </c>
      <c r="J14" s="21">
        <f>299*1.17</f>
        <v>349.83</v>
      </c>
      <c r="K14" s="21">
        <f>332*1.05*1.17</f>
        <v>407.862</v>
      </c>
      <c r="L14" s="21">
        <f>399*1.17</f>
        <v>466.83</v>
      </c>
      <c r="M14" s="21">
        <f>479*1.17</f>
        <v>560.43</v>
      </c>
    </row>
    <row r="15" spans="1:13" ht="21">
      <c r="A15" s="33" t="s">
        <v>102</v>
      </c>
      <c r="B15" s="34" t="s">
        <v>108</v>
      </c>
      <c r="C15" s="34"/>
      <c r="D15" s="34"/>
      <c r="E15" s="34"/>
      <c r="F15" s="34"/>
      <c r="G15" s="34"/>
      <c r="H15" s="34"/>
      <c r="I15" s="5"/>
      <c r="J15" s="5"/>
      <c r="K15" s="3"/>
      <c r="L15" s="3"/>
      <c r="M15" s="3"/>
    </row>
    <row r="16" spans="1:13" ht="15">
      <c r="A16" s="3"/>
      <c r="B16" s="109" t="s">
        <v>12</v>
      </c>
      <c r="C16" s="110"/>
      <c r="D16" s="16" t="s">
        <v>49</v>
      </c>
      <c r="E16" s="16" t="s">
        <v>91</v>
      </c>
      <c r="F16" s="16" t="s">
        <v>2</v>
      </c>
      <c r="G16" s="17" t="s">
        <v>3</v>
      </c>
      <c r="H16" s="17" t="s">
        <v>4</v>
      </c>
      <c r="I16" s="17" t="s">
        <v>5</v>
      </c>
      <c r="J16" s="17" t="s">
        <v>6</v>
      </c>
      <c r="K16" s="17" t="s">
        <v>7</v>
      </c>
      <c r="L16" s="17" t="s">
        <v>8</v>
      </c>
      <c r="M16" s="17" t="s">
        <v>135</v>
      </c>
    </row>
    <row r="17" spans="1:13" ht="15">
      <c r="A17" s="3"/>
      <c r="B17" s="111"/>
      <c r="C17" s="112"/>
      <c r="D17" s="18" t="s">
        <v>59</v>
      </c>
      <c r="E17" s="18" t="s">
        <v>92</v>
      </c>
      <c r="F17" s="18" t="s">
        <v>60</v>
      </c>
      <c r="G17" s="19" t="s">
        <v>61</v>
      </c>
      <c r="H17" s="19" t="s">
        <v>50</v>
      </c>
      <c r="I17" s="19" t="s">
        <v>10</v>
      </c>
      <c r="J17" s="19" t="s">
        <v>11</v>
      </c>
      <c r="K17" s="19" t="s">
        <v>62</v>
      </c>
      <c r="L17" s="19" t="s">
        <v>123</v>
      </c>
      <c r="M17" s="19" t="s">
        <v>136</v>
      </c>
    </row>
    <row r="18" spans="1:13" ht="15">
      <c r="A18" s="3"/>
      <c r="B18" s="105" t="s">
        <v>18</v>
      </c>
      <c r="C18" s="106"/>
      <c r="D18" s="22">
        <f>495*1.05*1.17</f>
        <v>608.1075</v>
      </c>
      <c r="E18" s="22">
        <f>533*1.05*1.17</f>
        <v>654.7905</v>
      </c>
      <c r="F18" s="22">
        <f>558*1.05*1.17</f>
        <v>685.5029999999999</v>
      </c>
      <c r="G18" s="22">
        <f>594*1.05*1.17</f>
        <v>729.729</v>
      </c>
      <c r="H18" s="22">
        <f>628*1.05*1.17</f>
        <v>771.4979999999999</v>
      </c>
      <c r="I18" s="22">
        <f>694*1.05*1.17</f>
        <v>852.579</v>
      </c>
      <c r="J18" s="22">
        <f>737*1.05*1.17</f>
        <v>905.4045</v>
      </c>
      <c r="K18" s="22">
        <f>814*1.05*1.17</f>
        <v>999.999</v>
      </c>
      <c r="L18" s="22">
        <f>977*1.17</f>
        <v>1143.09</v>
      </c>
      <c r="M18" s="22">
        <f>1172*1.17</f>
        <v>1371.24</v>
      </c>
    </row>
    <row r="19" spans="1:13" ht="15">
      <c r="A19" s="3"/>
      <c r="B19" s="20" t="s">
        <v>19</v>
      </c>
      <c r="C19" s="20"/>
      <c r="D19" s="22">
        <f>596*1.05*1.17</f>
        <v>732.186</v>
      </c>
      <c r="E19" s="22">
        <f>646*1.05*1.17</f>
        <v>793.611</v>
      </c>
      <c r="F19" s="22">
        <f>683*1.05*1.17</f>
        <v>839.0654999999999</v>
      </c>
      <c r="G19" s="22">
        <f>727*1.05*1.17</f>
        <v>893.1195</v>
      </c>
      <c r="H19" s="22">
        <f>790*1.05*1.17</f>
        <v>970.515</v>
      </c>
      <c r="I19" s="22">
        <f>862*1.05*1.17</f>
        <v>1058.9669999999999</v>
      </c>
      <c r="J19" s="22">
        <f>915*1.05*1.17</f>
        <v>1124.0774999999999</v>
      </c>
      <c r="K19" s="22">
        <f>1004*1.05*1.17</f>
        <v>1233.414</v>
      </c>
      <c r="L19" s="22">
        <f>1205*1.17</f>
        <v>1409.85</v>
      </c>
      <c r="M19" s="22">
        <f>1446*1.17</f>
        <v>1691.82</v>
      </c>
    </row>
    <row r="20" spans="1:13" ht="15">
      <c r="A20" s="3"/>
      <c r="B20" s="105" t="s">
        <v>20</v>
      </c>
      <c r="C20" s="106"/>
      <c r="D20" s="22">
        <f>668*1.05*1.17</f>
        <v>820.6379999999999</v>
      </c>
      <c r="E20" s="22">
        <f>722*1.05*1.17</f>
        <v>886.977</v>
      </c>
      <c r="F20" s="22">
        <f>766*1.05*1.17</f>
        <v>941.0310000000001</v>
      </c>
      <c r="G20" s="22">
        <f>813*1.05*1.17</f>
        <v>998.7705000000001</v>
      </c>
      <c r="H20" s="22">
        <f>902*1.05*1.17</f>
        <v>1108.107</v>
      </c>
      <c r="I20" s="22">
        <f>971*1.05*1.17</f>
        <v>1192.8735</v>
      </c>
      <c r="J20" s="22">
        <f>1029*1.05*1.17</f>
        <v>1264.1265</v>
      </c>
      <c r="K20" s="22">
        <f>1128*1.05*1.17</f>
        <v>1385.748</v>
      </c>
      <c r="L20" s="22">
        <f>1353*1.17</f>
        <v>1583.01</v>
      </c>
      <c r="M20" s="22">
        <f>1624*1.17</f>
        <v>1900.08</v>
      </c>
    </row>
    <row r="21" spans="1:13" ht="15">
      <c r="A21" s="3"/>
      <c r="B21" s="20" t="s">
        <v>13</v>
      </c>
      <c r="C21" s="20"/>
      <c r="D21" s="7">
        <f>263*1.05*1.17</f>
        <v>323.0955</v>
      </c>
      <c r="E21" s="7">
        <f>287*1.05*1.17</f>
        <v>352.5795</v>
      </c>
      <c r="F21" s="7">
        <f>307*1.05*1.17</f>
        <v>377.1495</v>
      </c>
      <c r="G21" s="7">
        <f>308*1.05*1.17</f>
        <v>378.37800000000004</v>
      </c>
      <c r="H21" s="7">
        <f>315*1.05*1.17</f>
        <v>386.97749999999996</v>
      </c>
      <c r="I21" s="7">
        <f>325*1.05*1.17</f>
        <v>399.2625</v>
      </c>
      <c r="J21" s="7">
        <f>331*1.05*1.17</f>
        <v>406.63349999999997</v>
      </c>
      <c r="K21" s="7">
        <f>345*1.05*1.17</f>
        <v>423.8325</v>
      </c>
      <c r="L21" s="7">
        <f>414*1.17</f>
        <v>484.38</v>
      </c>
      <c r="M21" s="7">
        <f>497*1.17</f>
        <v>581.49</v>
      </c>
    </row>
    <row r="22" spans="1:13" ht="15">
      <c r="A22" s="3"/>
      <c r="B22" s="105" t="s">
        <v>14</v>
      </c>
      <c r="C22" s="106"/>
      <c r="D22" s="7">
        <f>325*1.05*1.17</f>
        <v>399.2625</v>
      </c>
      <c r="E22" s="7">
        <f>346*1.05*1.17</f>
        <v>425.061</v>
      </c>
      <c r="F22" s="7">
        <f>369*1.05*1.17</f>
        <v>453.31649999999996</v>
      </c>
      <c r="G22" s="7">
        <f>377*1.05*1.17</f>
        <v>463.1445</v>
      </c>
      <c r="H22" s="7">
        <f>397*1.05*1.17</f>
        <v>487.7145</v>
      </c>
      <c r="I22" s="7">
        <f>412*1.05*1.17</f>
        <v>506.142</v>
      </c>
      <c r="J22" s="7">
        <f>419*1.05*1.17</f>
        <v>514.7415</v>
      </c>
      <c r="K22" s="7">
        <f>445*1.05*1.17</f>
        <v>546.6825</v>
      </c>
      <c r="L22" s="7">
        <f>535*1.17</f>
        <v>625.9499999999999</v>
      </c>
      <c r="M22" s="7">
        <f>642*1.17</f>
        <v>751.14</v>
      </c>
    </row>
    <row r="23" spans="1:13" ht="15">
      <c r="A23" s="3"/>
      <c r="B23" s="105" t="s">
        <v>15</v>
      </c>
      <c r="C23" s="106"/>
      <c r="D23" s="7">
        <f>367*1.05*1.17</f>
        <v>450.8595</v>
      </c>
      <c r="E23" s="7">
        <f>392*1.05*1.17</f>
        <v>481.572</v>
      </c>
      <c r="F23" s="7">
        <f>413*1.05*1.17</f>
        <v>507.3705</v>
      </c>
      <c r="G23" s="7">
        <f>424*1.05*1.17</f>
        <v>520.884</v>
      </c>
      <c r="H23" s="7">
        <f>451*1.05*1.17</f>
        <v>554.0535</v>
      </c>
      <c r="I23" s="7">
        <f>461*1.05*1.17</f>
        <v>566.3385</v>
      </c>
      <c r="J23" s="7">
        <f>480*1.05*1.17</f>
        <v>589.68</v>
      </c>
      <c r="K23" s="7">
        <f>513*1.05*1.17</f>
        <v>630.2204999999999</v>
      </c>
      <c r="L23" s="7">
        <f>616*1.17</f>
        <v>720.7199999999999</v>
      </c>
      <c r="M23" s="7">
        <f>739*1.17</f>
        <v>864.63</v>
      </c>
    </row>
    <row r="24" spans="1:13" ht="21">
      <c r="A24" s="33" t="s">
        <v>101</v>
      </c>
      <c r="B24" s="10" t="s">
        <v>109</v>
      </c>
      <c r="C24" s="5"/>
      <c r="D24" s="5"/>
      <c r="E24" s="5"/>
      <c r="F24" s="5"/>
      <c r="G24" s="5"/>
      <c r="H24" s="5"/>
      <c r="I24" s="5"/>
      <c r="J24" s="5"/>
      <c r="K24" s="3"/>
      <c r="L24" s="3"/>
      <c r="M24" s="3"/>
    </row>
    <row r="25" spans="1:13" ht="15">
      <c r="A25" s="3"/>
      <c r="B25" s="109" t="s">
        <v>12</v>
      </c>
      <c r="C25" s="110"/>
      <c r="D25" s="16" t="s">
        <v>49</v>
      </c>
      <c r="E25" s="16" t="s">
        <v>91</v>
      </c>
      <c r="F25" s="16" t="s">
        <v>2</v>
      </c>
      <c r="G25" s="17" t="s">
        <v>3</v>
      </c>
      <c r="H25" s="17" t="s">
        <v>4</v>
      </c>
      <c r="I25" s="17" t="s">
        <v>5</v>
      </c>
      <c r="J25" s="17" t="s">
        <v>6</v>
      </c>
      <c r="K25" s="17" t="s">
        <v>7</v>
      </c>
      <c r="L25" s="17" t="s">
        <v>8</v>
      </c>
      <c r="M25" s="17" t="s">
        <v>135</v>
      </c>
    </row>
    <row r="26" spans="1:13" ht="15">
      <c r="A26" s="3"/>
      <c r="B26" s="111"/>
      <c r="C26" s="112"/>
      <c r="D26" s="18" t="s">
        <v>59</v>
      </c>
      <c r="E26" s="18" t="s">
        <v>92</v>
      </c>
      <c r="F26" s="18" t="s">
        <v>60</v>
      </c>
      <c r="G26" s="19" t="s">
        <v>61</v>
      </c>
      <c r="H26" s="19" t="s">
        <v>50</v>
      </c>
      <c r="I26" s="19" t="s">
        <v>10</v>
      </c>
      <c r="J26" s="19" t="s">
        <v>11</v>
      </c>
      <c r="K26" s="19" t="s">
        <v>62</v>
      </c>
      <c r="L26" s="19" t="s">
        <v>123</v>
      </c>
      <c r="M26" s="19" t="s">
        <v>136</v>
      </c>
    </row>
    <row r="27" spans="1:13" ht="15">
      <c r="A27" s="3"/>
      <c r="B27" s="105" t="s">
        <v>22</v>
      </c>
      <c r="C27" s="106"/>
      <c r="D27" s="22">
        <f>644*1.05*1.17</f>
        <v>791.154</v>
      </c>
      <c r="E27" s="22">
        <f>694*1.05*1.17</f>
        <v>852.579</v>
      </c>
      <c r="F27" s="22">
        <f>751*1.05*1.17</f>
        <v>922.6035</v>
      </c>
      <c r="G27" s="22">
        <f>764*1.05*1.17</f>
        <v>938.574</v>
      </c>
      <c r="H27" s="22">
        <f>813*1.05*1.17</f>
        <v>998.7705000000001</v>
      </c>
      <c r="I27" s="22">
        <f>894*1.05*1.17</f>
        <v>1098.279</v>
      </c>
      <c r="J27" s="22">
        <f>960*1.05*1.17</f>
        <v>1179.36</v>
      </c>
      <c r="K27" s="22">
        <f>1063*1.05*1.17</f>
        <v>1305.8955</v>
      </c>
      <c r="L27" s="22">
        <f>1276*1.17</f>
        <v>1492.9199999999998</v>
      </c>
      <c r="M27" s="22">
        <f>1531*1.17</f>
        <v>1791.27</v>
      </c>
    </row>
    <row r="28" spans="1:13" ht="15">
      <c r="A28" s="3"/>
      <c r="B28" s="20" t="s">
        <v>23</v>
      </c>
      <c r="C28" s="20"/>
      <c r="D28" s="22">
        <f>747*1.05*1.17</f>
        <v>917.6895</v>
      </c>
      <c r="E28" s="22">
        <f>809*1.05*1.17</f>
        <v>993.8565</v>
      </c>
      <c r="F28" s="22">
        <f>877*1.05*1.17</f>
        <v>1077.3944999999999</v>
      </c>
      <c r="G28" s="22">
        <f>896*1.05*1.17</f>
        <v>1100.736</v>
      </c>
      <c r="H28" s="22">
        <f>978*1.05*1.17</f>
        <v>1201.473</v>
      </c>
      <c r="I28" s="22">
        <f>1063*1.05*1.17</f>
        <v>1305.8955</v>
      </c>
      <c r="J28" s="22">
        <f>1134*1.05*1.17</f>
        <v>1393.119</v>
      </c>
      <c r="K28" s="22">
        <f>1247*1.05*1.17</f>
        <v>1531.9395000000002</v>
      </c>
      <c r="L28" s="22">
        <f>1496*1.17</f>
        <v>1750.32</v>
      </c>
      <c r="M28" s="22">
        <f>1795*1.17</f>
        <v>2100.15</v>
      </c>
    </row>
    <row r="29" spans="1:13" ht="15">
      <c r="A29" s="3"/>
      <c r="B29" s="105" t="s">
        <v>24</v>
      </c>
      <c r="C29" s="106"/>
      <c r="D29" s="22">
        <f>814*1.05*1.17</f>
        <v>999.999</v>
      </c>
      <c r="E29" s="22">
        <f>879*1.05*1.17</f>
        <v>1079.8515</v>
      </c>
      <c r="F29" s="22">
        <f>960*1.05*1.17</f>
        <v>1179.36</v>
      </c>
      <c r="G29" s="22">
        <f>985*1.05*1.17</f>
        <v>1210.0725</v>
      </c>
      <c r="H29" s="22">
        <f>1089*1.05*1.17</f>
        <v>1337.8365</v>
      </c>
      <c r="I29" s="22">
        <f>1171*1.05*1.17</f>
        <v>1438.5735</v>
      </c>
      <c r="J29" s="22">
        <f>1253*1.05*1.17</f>
        <v>1539.3105</v>
      </c>
      <c r="K29" s="22">
        <f>1373*1.05*1.17</f>
        <v>1686.7305</v>
      </c>
      <c r="L29" s="22">
        <f>1647*1.17</f>
        <v>1926.9899999999998</v>
      </c>
      <c r="M29" s="22">
        <f>1976*1.17</f>
        <v>2311.92</v>
      </c>
    </row>
    <row r="30" spans="1:13" ht="15">
      <c r="A30" s="3"/>
      <c r="B30" s="20" t="s">
        <v>16</v>
      </c>
      <c r="C30" s="20"/>
      <c r="D30" s="22">
        <f>340*1.05*1.17</f>
        <v>417.69</v>
      </c>
      <c r="E30" s="22">
        <f>370*1.05*1.17</f>
        <v>454.54499999999996</v>
      </c>
      <c r="F30" s="22">
        <f>391*1.05*1.17</f>
        <v>480.3435</v>
      </c>
      <c r="G30" s="22">
        <f>397*1.05*1.17</f>
        <v>487.7145</v>
      </c>
      <c r="H30" s="22">
        <f>413*1.05*1.17</f>
        <v>507.3705</v>
      </c>
      <c r="I30" s="22">
        <f>419*1.05*1.17</f>
        <v>514.7415</v>
      </c>
      <c r="J30" s="22">
        <f>427*1.05*1.17</f>
        <v>524.5695</v>
      </c>
      <c r="K30" s="22">
        <f>451*1.05*1.17</f>
        <v>554.0535</v>
      </c>
      <c r="L30" s="22">
        <f>541*1.17</f>
        <v>632.9699999999999</v>
      </c>
      <c r="M30" s="22">
        <f>649*1.17</f>
        <v>759.3299999999999</v>
      </c>
    </row>
    <row r="31" spans="1:13" ht="15">
      <c r="A31" s="3"/>
      <c r="B31" s="105" t="s">
        <v>17</v>
      </c>
      <c r="C31" s="106"/>
      <c r="D31" s="22">
        <f>401*1.05*1.17</f>
        <v>492.6285</v>
      </c>
      <c r="E31" s="22">
        <f>433*1.05*1.17</f>
        <v>531.9405</v>
      </c>
      <c r="F31" s="22">
        <f>456*1.05*1.17</f>
        <v>560.196</v>
      </c>
      <c r="G31" s="22">
        <f>468*1.05*1.17</f>
        <v>574.938</v>
      </c>
      <c r="H31" s="22">
        <f>495*1.05*1.17</f>
        <v>608.1075</v>
      </c>
      <c r="I31" s="22">
        <f>494*1.05*1.17</f>
        <v>606.879</v>
      </c>
      <c r="J31" s="22">
        <f>518*1.05*1.17</f>
        <v>636.3629999999999</v>
      </c>
      <c r="K31" s="22">
        <f>552*1.05*1.17</f>
        <v>678.132</v>
      </c>
      <c r="L31" s="22">
        <f>662*1.17</f>
        <v>774.54</v>
      </c>
      <c r="M31" s="22">
        <f>794*1.17</f>
        <v>928.9799999999999</v>
      </c>
    </row>
    <row r="32" spans="1:13" ht="15">
      <c r="A32" s="3"/>
      <c r="B32" s="105" t="s">
        <v>21</v>
      </c>
      <c r="C32" s="106"/>
      <c r="D32" s="22">
        <f>445*1.05*1.17</f>
        <v>546.6825</v>
      </c>
      <c r="E32" s="22">
        <f>479*1.05*1.17</f>
        <v>588.4515</v>
      </c>
      <c r="F32" s="22">
        <f>496*1.05*1.17</f>
        <v>609.336</v>
      </c>
      <c r="G32" s="22">
        <f>516*1.05*1.17</f>
        <v>633.9060000000001</v>
      </c>
      <c r="H32" s="22">
        <f>546*1.05*1.17</f>
        <v>670.7610000000001</v>
      </c>
      <c r="I32" s="22">
        <f>559*1.05*1.17</f>
        <v>686.7315</v>
      </c>
      <c r="J32" s="22">
        <f>579*1.05*1.17</f>
        <v>711.3015</v>
      </c>
      <c r="K32" s="22">
        <f>618*1.05*1.17</f>
        <v>759.213</v>
      </c>
      <c r="L32" s="22">
        <f>741*1.17</f>
        <v>866.9699999999999</v>
      </c>
      <c r="M32" s="22">
        <f>889*1.17</f>
        <v>1040.1299999999999</v>
      </c>
    </row>
    <row r="33" spans="1:13" ht="21">
      <c r="A33" s="33" t="s">
        <v>103</v>
      </c>
      <c r="B33" s="10" t="s">
        <v>110</v>
      </c>
      <c r="C33" s="28"/>
      <c r="D33" s="29"/>
      <c r="E33" s="29"/>
      <c r="F33" s="29"/>
      <c r="G33" s="30"/>
      <c r="H33" s="30"/>
      <c r="I33" s="30"/>
      <c r="J33" s="30"/>
      <c r="K33" s="30"/>
      <c r="L33" s="30"/>
      <c r="M33" s="30"/>
    </row>
    <row r="34" spans="1:13" ht="15">
      <c r="A34" s="3"/>
      <c r="B34" s="107" t="s">
        <v>12</v>
      </c>
      <c r="C34" s="108"/>
      <c r="D34" s="31" t="s">
        <v>49</v>
      </c>
      <c r="E34" s="23" t="s">
        <v>91</v>
      </c>
      <c r="F34" s="23" t="s">
        <v>2</v>
      </c>
      <c r="G34" s="24" t="s">
        <v>3</v>
      </c>
      <c r="H34" s="24" t="s">
        <v>4</v>
      </c>
      <c r="I34" s="24" t="s">
        <v>5</v>
      </c>
      <c r="J34" s="24" t="s">
        <v>6</v>
      </c>
      <c r="K34" s="24" t="s">
        <v>7</v>
      </c>
      <c r="L34" s="24" t="s">
        <v>8</v>
      </c>
      <c r="M34" s="15" t="s">
        <v>135</v>
      </c>
    </row>
    <row r="35" spans="1:13" ht="15">
      <c r="A35" s="3"/>
      <c r="B35" s="105" t="s">
        <v>74</v>
      </c>
      <c r="C35" s="106"/>
      <c r="D35" s="21">
        <f>247*1.17</f>
        <v>288.99</v>
      </c>
      <c r="E35" s="21">
        <f>268*1.17</f>
        <v>313.56</v>
      </c>
      <c r="F35" s="21">
        <f>294*1.17</f>
        <v>343.97999999999996</v>
      </c>
      <c r="G35" s="21">
        <f>304*1.17</f>
        <v>355.67999999999995</v>
      </c>
      <c r="H35" s="21">
        <f>334*1.17</f>
        <v>390.78</v>
      </c>
      <c r="I35" s="21">
        <f>387*1.17</f>
        <v>452.78999999999996</v>
      </c>
      <c r="J35" s="21">
        <f>447*1.17</f>
        <v>522.99</v>
      </c>
      <c r="K35" s="21">
        <f>484*1.17</f>
        <v>566.28</v>
      </c>
      <c r="L35" s="21">
        <f>526*1.05*1.17</f>
        <v>646.191</v>
      </c>
      <c r="M35" s="21">
        <f>631*1.17</f>
        <v>738.27</v>
      </c>
    </row>
    <row r="36" spans="1:13" ht="15">
      <c r="A36" s="3"/>
      <c r="B36" s="20" t="s">
        <v>75</v>
      </c>
      <c r="C36" s="20"/>
      <c r="D36" s="21">
        <f>395*1.17</f>
        <v>462.15</v>
      </c>
      <c r="E36" s="21">
        <f>431*1.17</f>
        <v>504.27</v>
      </c>
      <c r="F36" s="21">
        <f>468*1.17</f>
        <v>547.56</v>
      </c>
      <c r="G36" s="21">
        <f>489*1.17</f>
        <v>572.13</v>
      </c>
      <c r="H36" s="21">
        <f>695*1.17</f>
        <v>813.15</v>
      </c>
      <c r="I36" s="21">
        <f>622*1.17</f>
        <v>727.74</v>
      </c>
      <c r="J36" s="21">
        <f>717*1.17</f>
        <v>838.89</v>
      </c>
      <c r="K36" s="21">
        <f>770*1.17</f>
        <v>900.9</v>
      </c>
      <c r="L36" s="21">
        <f>837*1.05*1.17</f>
        <v>1028.2545</v>
      </c>
      <c r="M36" s="21">
        <f>1004*1.17</f>
        <v>1174.6799999999998</v>
      </c>
    </row>
    <row r="37" spans="1:13" ht="15">
      <c r="A37" s="3"/>
      <c r="B37" s="105" t="s">
        <v>76</v>
      </c>
      <c r="C37" s="106"/>
      <c r="D37" s="21">
        <f>491*1.17</f>
        <v>574.4699999999999</v>
      </c>
      <c r="E37" s="21">
        <f>535*1.17</f>
        <v>625.9499999999999</v>
      </c>
      <c r="F37" s="21">
        <f>584*1.17</f>
        <v>683.28</v>
      </c>
      <c r="G37" s="21">
        <f>610*1.17</f>
        <v>713.6999999999999</v>
      </c>
      <c r="H37" s="21">
        <f>871*1.17</f>
        <v>1019.0699999999999</v>
      </c>
      <c r="I37" s="21">
        <f>775*1.17</f>
        <v>906.75</v>
      </c>
      <c r="J37" s="21">
        <f>896*1.17</f>
        <v>1048.32</v>
      </c>
      <c r="K37" s="21">
        <f>964*1.17</f>
        <v>1127.8799999999999</v>
      </c>
      <c r="L37" s="21">
        <f>1048*1.05*1.17</f>
        <v>1287.468</v>
      </c>
      <c r="M37" s="21">
        <f>1258*1.17</f>
        <v>1471.86</v>
      </c>
    </row>
    <row r="38" spans="1:13" ht="15">
      <c r="A38" s="3"/>
      <c r="B38" s="20" t="s">
        <v>71</v>
      </c>
      <c r="C38" s="20"/>
      <c r="D38" s="21">
        <f>303*1.17</f>
        <v>354.51</v>
      </c>
      <c r="E38" s="21">
        <f>318*1.17</f>
        <v>372.06</v>
      </c>
      <c r="F38" s="21">
        <f>350*1.17</f>
        <v>409.5</v>
      </c>
      <c r="G38" s="21">
        <f>365*1.17</f>
        <v>427.04999999999995</v>
      </c>
      <c r="H38" s="21">
        <f>367*1.17</f>
        <v>429.39</v>
      </c>
      <c r="I38" s="21">
        <f>491*1.17</f>
        <v>574.4699999999999</v>
      </c>
      <c r="J38" s="21">
        <f>537*1.17</f>
        <v>628.29</v>
      </c>
      <c r="K38" s="21">
        <f>577*1.17</f>
        <v>675.0899999999999</v>
      </c>
      <c r="L38" s="21">
        <f>659*1.17</f>
        <v>771.03</v>
      </c>
      <c r="M38" s="21">
        <f>754*1.17</f>
        <v>882.18</v>
      </c>
    </row>
    <row r="39" spans="1:13" ht="15">
      <c r="A39" s="3"/>
      <c r="B39" s="105" t="s">
        <v>72</v>
      </c>
      <c r="C39" s="106"/>
      <c r="D39" s="21">
        <f>484*1.17</f>
        <v>566.28</v>
      </c>
      <c r="E39" s="21">
        <f>506*1.17</f>
        <v>592.02</v>
      </c>
      <c r="F39" s="22">
        <f>562*1.17</f>
        <v>657.54</v>
      </c>
      <c r="G39" s="21">
        <f>582*1.17</f>
        <v>680.9399999999999</v>
      </c>
      <c r="H39" s="21">
        <f>589*1.17</f>
        <v>689.13</v>
      </c>
      <c r="I39" s="21">
        <f>784*1.17</f>
        <v>917.28</v>
      </c>
      <c r="J39" s="21">
        <f>861*1.17</f>
        <v>1007.3699999999999</v>
      </c>
      <c r="K39" s="21">
        <f>922*1.17</f>
        <v>1078.74</v>
      </c>
      <c r="L39" s="21">
        <f>1002*1.05*1.17</f>
        <v>1230.957</v>
      </c>
      <c r="M39" s="21">
        <f>1202*1.17</f>
        <v>1406.34</v>
      </c>
    </row>
    <row r="40" spans="1:13" ht="15">
      <c r="A40" s="3"/>
      <c r="B40" s="105" t="s">
        <v>73</v>
      </c>
      <c r="C40" s="106"/>
      <c r="D40" s="21">
        <f>602*1.17</f>
        <v>704.3399999999999</v>
      </c>
      <c r="E40" s="21">
        <f>635*1.17</f>
        <v>742.9499999999999</v>
      </c>
      <c r="F40" s="21">
        <f>701*1.17</f>
        <v>820.17</v>
      </c>
      <c r="G40" s="21">
        <f>728*1.17</f>
        <v>851.76</v>
      </c>
      <c r="H40" s="21">
        <f>735*1.17</f>
        <v>859.9499999999999</v>
      </c>
      <c r="I40" s="21">
        <f>982*1.17</f>
        <v>1148.9399999999998</v>
      </c>
      <c r="J40" s="21">
        <f>1076*1.17</f>
        <v>1258.9199999999998</v>
      </c>
      <c r="K40" s="21">
        <f>1150*1.17</f>
        <v>1345.5</v>
      </c>
      <c r="L40" s="21">
        <f>1251*1.05*1.17</f>
        <v>1536.8535</v>
      </c>
      <c r="M40" s="21">
        <f>1501*1.17</f>
        <v>1756.1699999999998</v>
      </c>
    </row>
    <row r="41" spans="1:13" ht="21">
      <c r="A41" s="33" t="s">
        <v>102</v>
      </c>
      <c r="B41" s="34" t="s">
        <v>111</v>
      </c>
      <c r="C41" s="34"/>
      <c r="D41" s="34"/>
      <c r="E41" s="34"/>
      <c r="F41" s="34"/>
      <c r="G41" s="34"/>
      <c r="H41" s="34"/>
      <c r="I41" s="34"/>
      <c r="J41" s="34"/>
      <c r="K41" s="34"/>
      <c r="L41" s="3"/>
      <c r="M41" s="3"/>
    </row>
    <row r="42" spans="1:13" ht="15">
      <c r="A42" s="3"/>
      <c r="B42" s="109" t="s">
        <v>12</v>
      </c>
      <c r="C42" s="110"/>
      <c r="D42" s="16" t="s">
        <v>49</v>
      </c>
      <c r="E42" s="16" t="s">
        <v>91</v>
      </c>
      <c r="F42" s="16" t="s">
        <v>2</v>
      </c>
      <c r="G42" s="17" t="s">
        <v>3</v>
      </c>
      <c r="H42" s="17" t="s">
        <v>4</v>
      </c>
      <c r="I42" s="17" t="s">
        <v>5</v>
      </c>
      <c r="J42" s="17" t="s">
        <v>6</v>
      </c>
      <c r="K42" s="17" t="s">
        <v>7</v>
      </c>
      <c r="L42" s="17" t="s">
        <v>8</v>
      </c>
      <c r="M42" s="17" t="s">
        <v>135</v>
      </c>
    </row>
    <row r="43" spans="1:13" ht="15">
      <c r="A43" s="3"/>
      <c r="B43" s="111"/>
      <c r="C43" s="112"/>
      <c r="D43" s="18" t="s">
        <v>59</v>
      </c>
      <c r="E43" s="18" t="s">
        <v>92</v>
      </c>
      <c r="F43" s="18" t="s">
        <v>60</v>
      </c>
      <c r="G43" s="19" t="s">
        <v>61</v>
      </c>
      <c r="H43" s="19" t="s">
        <v>50</v>
      </c>
      <c r="I43" s="19" t="s">
        <v>10</v>
      </c>
      <c r="J43" s="19" t="s">
        <v>11</v>
      </c>
      <c r="K43" s="19" t="s">
        <v>62</v>
      </c>
      <c r="L43" s="19" t="s">
        <v>123</v>
      </c>
      <c r="M43" s="19" t="s">
        <v>136</v>
      </c>
    </row>
    <row r="44" spans="1:13" ht="15">
      <c r="A44" s="3"/>
      <c r="B44" s="105" t="s">
        <v>37</v>
      </c>
      <c r="C44" s="106"/>
      <c r="D44" s="7">
        <f>559*1.17</f>
        <v>654.03</v>
      </c>
      <c r="E44" s="7">
        <f>599*1.17</f>
        <v>700.8299999999999</v>
      </c>
      <c r="F44" s="7">
        <f>624*1.17</f>
        <v>730.0799999999999</v>
      </c>
      <c r="G44" s="7">
        <f>666*1.17</f>
        <v>779.2199999999999</v>
      </c>
      <c r="H44" s="7">
        <f>719*1.17</f>
        <v>841.2299999999999</v>
      </c>
      <c r="I44" s="7">
        <f>780*1.17</f>
        <v>912.5999999999999</v>
      </c>
      <c r="J44" s="7">
        <f>835*1.17</f>
        <v>976.9499999999999</v>
      </c>
      <c r="K44" s="7">
        <f>945*1.11</f>
        <v>1048.95</v>
      </c>
      <c r="L44" s="7">
        <f>1028*1.17</f>
        <v>1202.76</v>
      </c>
      <c r="M44" s="7">
        <f>1234*1.17</f>
        <v>1443.78</v>
      </c>
    </row>
    <row r="45" spans="1:13" ht="15">
      <c r="A45" s="3"/>
      <c r="B45" s="20" t="s">
        <v>38</v>
      </c>
      <c r="C45" s="20"/>
      <c r="D45" s="7">
        <f>710*1.17</f>
        <v>830.6999999999999</v>
      </c>
      <c r="E45" s="7">
        <f>761*1.17</f>
        <v>890.3699999999999</v>
      </c>
      <c r="F45" s="7">
        <f>803*1.17</f>
        <v>939.51</v>
      </c>
      <c r="G45" s="7">
        <f>849*1.17</f>
        <v>993.3299999999999</v>
      </c>
      <c r="H45" s="7">
        <f>943*1.17</f>
        <v>1103.31</v>
      </c>
      <c r="I45" s="7">
        <f>1021*1.17</f>
        <v>1194.57</v>
      </c>
      <c r="J45" s="7">
        <f>1106*1.17</f>
        <v>1294.02</v>
      </c>
      <c r="K45" s="7">
        <f>1237*1.11</f>
        <v>1373.0700000000002</v>
      </c>
      <c r="L45" s="7">
        <f>1345*1.17</f>
        <v>1573.6499999999999</v>
      </c>
      <c r="M45" s="7">
        <f>1614*1.17</f>
        <v>1888.3799999999999</v>
      </c>
    </row>
    <row r="46" spans="1:13" ht="15">
      <c r="A46" s="3"/>
      <c r="B46" s="105" t="s">
        <v>39</v>
      </c>
      <c r="C46" s="106"/>
      <c r="D46" s="7">
        <f>806*1.17</f>
        <v>943.02</v>
      </c>
      <c r="E46" s="7">
        <f>870*1.17</f>
        <v>1017.9</v>
      </c>
      <c r="F46" s="7">
        <f>918*1.17</f>
        <v>1074.06</v>
      </c>
      <c r="G46" s="7">
        <f>969*1.17</f>
        <v>1133.73</v>
      </c>
      <c r="H46" s="7">
        <f>1088*1.17</f>
        <v>1272.96</v>
      </c>
      <c r="I46" s="7">
        <f>1185*1.17</f>
        <v>1386.4499999999998</v>
      </c>
      <c r="J46" s="7">
        <f>1284*1.17</f>
        <v>1502.28</v>
      </c>
      <c r="K46" s="7">
        <f>1427*1.11</f>
        <v>1583.97</v>
      </c>
      <c r="L46" s="7">
        <f>1552*1.17</f>
        <v>1815.84</v>
      </c>
      <c r="M46" s="7">
        <f>1862*1.17</f>
        <v>2178.54</v>
      </c>
    </row>
    <row r="47" spans="1:13" ht="15">
      <c r="A47" s="3"/>
      <c r="B47" s="20" t="s">
        <v>34</v>
      </c>
      <c r="C47" s="20"/>
      <c r="D47" s="7">
        <f>670*1.17</f>
        <v>783.9</v>
      </c>
      <c r="E47" s="7">
        <f>719*1.05*1.17</f>
        <v>883.2915</v>
      </c>
      <c r="F47" s="7">
        <f>745*1.17</f>
        <v>871.65</v>
      </c>
      <c r="G47" s="7">
        <f>797*1.17</f>
        <v>932.4899999999999</v>
      </c>
      <c r="H47" s="7">
        <f>857*1.17</f>
        <v>1002.6899999999999</v>
      </c>
      <c r="I47" s="7">
        <f>935*1.17</f>
        <v>1093.95</v>
      </c>
      <c r="J47" s="7">
        <f>1004*1.17</f>
        <v>1174.6799999999998</v>
      </c>
      <c r="K47" s="7">
        <f>1125*1.11</f>
        <v>1248.75</v>
      </c>
      <c r="L47" s="7">
        <f>1224*1.17</f>
        <v>1432.08</v>
      </c>
      <c r="M47" s="7">
        <f>1469*1.17</f>
        <v>1718.7299999999998</v>
      </c>
    </row>
    <row r="48" spans="1:13" ht="15">
      <c r="A48" s="3"/>
      <c r="B48" s="105" t="s">
        <v>35</v>
      </c>
      <c r="C48" s="106"/>
      <c r="D48" s="7">
        <f>849*1.17</f>
        <v>993.3299999999999</v>
      </c>
      <c r="E48" s="7">
        <f>910*1.05*1.17</f>
        <v>1117.935</v>
      </c>
      <c r="F48" s="7">
        <f>961*1.17</f>
        <v>1124.37</v>
      </c>
      <c r="G48" s="7">
        <f>1014*1.17</f>
        <v>1186.3799999999999</v>
      </c>
      <c r="H48" s="7">
        <f>1119*1.17</f>
        <v>1309.23</v>
      </c>
      <c r="I48" s="7">
        <f>1234*1.17</f>
        <v>1443.78</v>
      </c>
      <c r="J48" s="7">
        <f>1329*1.17</f>
        <v>1554.9299999999998</v>
      </c>
      <c r="K48" s="7">
        <f>1470*1.11</f>
        <v>1631.7</v>
      </c>
      <c r="L48" s="7">
        <f>1598*1.17</f>
        <v>1869.6599999999999</v>
      </c>
      <c r="M48" s="7">
        <f>1918*1.17</f>
        <v>2244.06</v>
      </c>
    </row>
    <row r="49" spans="1:13" ht="15">
      <c r="A49" s="3"/>
      <c r="B49" s="105" t="s">
        <v>36</v>
      </c>
      <c r="C49" s="106"/>
      <c r="D49" s="7">
        <f>969*1.17</f>
        <v>1133.73</v>
      </c>
      <c r="E49" s="7">
        <f>1038*1.05*1.17</f>
        <v>1275.183</v>
      </c>
      <c r="F49" s="7">
        <f>1096*1.17</f>
        <v>1282.32</v>
      </c>
      <c r="G49" s="7">
        <f>1160*1.17</f>
        <v>1357.1999999999998</v>
      </c>
      <c r="H49" s="7">
        <f>1292*1.17</f>
        <v>1511.6399999999999</v>
      </c>
      <c r="I49" s="7">
        <f>1427*1.17</f>
        <v>1669.59</v>
      </c>
      <c r="J49" s="7">
        <f>1543*1.17</f>
        <v>1805.31</v>
      </c>
      <c r="K49" s="7">
        <f>1700*1.11</f>
        <v>1887.0000000000002</v>
      </c>
      <c r="L49" s="7">
        <f>1849*1.17</f>
        <v>2163.33</v>
      </c>
      <c r="M49" s="7">
        <f>2219*1.17</f>
        <v>2596.23</v>
      </c>
    </row>
    <row r="50" spans="1:13" ht="21">
      <c r="A50" s="33" t="s">
        <v>101</v>
      </c>
      <c r="B50" s="34" t="s">
        <v>112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ht="15">
      <c r="A51" s="3"/>
      <c r="B51" s="109" t="s">
        <v>12</v>
      </c>
      <c r="C51" s="110"/>
      <c r="D51" s="16" t="s">
        <v>49</v>
      </c>
      <c r="E51" s="16" t="s">
        <v>91</v>
      </c>
      <c r="F51" s="16" t="s">
        <v>2</v>
      </c>
      <c r="G51" s="17" t="s">
        <v>3</v>
      </c>
      <c r="H51" s="17" t="s">
        <v>4</v>
      </c>
      <c r="I51" s="17" t="s">
        <v>5</v>
      </c>
      <c r="J51" s="17" t="s">
        <v>6</v>
      </c>
      <c r="K51" s="17" t="s">
        <v>7</v>
      </c>
      <c r="L51" s="17" t="s">
        <v>8</v>
      </c>
      <c r="M51" s="17" t="s">
        <v>135</v>
      </c>
    </row>
    <row r="52" spans="1:13" ht="15">
      <c r="A52" s="3"/>
      <c r="B52" s="111"/>
      <c r="C52" s="112"/>
      <c r="D52" s="18" t="s">
        <v>59</v>
      </c>
      <c r="E52" s="18" t="s">
        <v>92</v>
      </c>
      <c r="F52" s="18" t="s">
        <v>60</v>
      </c>
      <c r="G52" s="19" t="s">
        <v>61</v>
      </c>
      <c r="H52" s="19" t="s">
        <v>50</v>
      </c>
      <c r="I52" s="19" t="s">
        <v>10</v>
      </c>
      <c r="J52" s="19" t="s">
        <v>11</v>
      </c>
      <c r="K52" s="19" t="s">
        <v>62</v>
      </c>
      <c r="L52" s="19" t="s">
        <v>123</v>
      </c>
      <c r="M52" s="19" t="s">
        <v>136</v>
      </c>
    </row>
    <row r="53" spans="1:13" ht="15">
      <c r="A53" s="3"/>
      <c r="B53" s="105" t="s">
        <v>43</v>
      </c>
      <c r="C53" s="106"/>
      <c r="D53" s="7">
        <f>719*1.17</f>
        <v>841.2299999999999</v>
      </c>
      <c r="E53" s="7">
        <f>779*1.17</f>
        <v>911.43</v>
      </c>
      <c r="F53" s="7">
        <f>810*1.17</f>
        <v>947.6999999999999</v>
      </c>
      <c r="G53" s="7">
        <f>857*1.17</f>
        <v>1002.6899999999999</v>
      </c>
      <c r="H53" s="7">
        <f>932*1.17</f>
        <v>1090.4399999999998</v>
      </c>
      <c r="I53" s="7">
        <f>1014*1.17</f>
        <v>1186.3799999999999</v>
      </c>
      <c r="J53" s="7">
        <f>1088*1.17</f>
        <v>1272.96</v>
      </c>
      <c r="K53" s="7">
        <f>1219*1.17</f>
        <v>1426.23</v>
      </c>
      <c r="L53" s="7">
        <f>1385*1.11</f>
        <v>1537.3500000000001</v>
      </c>
      <c r="M53" s="7">
        <f>1662*1.11</f>
        <v>1844.8200000000002</v>
      </c>
    </row>
    <row r="54" spans="1:13" ht="15">
      <c r="A54" s="3"/>
      <c r="B54" s="20" t="s">
        <v>44</v>
      </c>
      <c r="C54" s="20"/>
      <c r="D54" s="7">
        <f>871*1.17</f>
        <v>1019.0699999999999</v>
      </c>
      <c r="E54" s="7">
        <f>938*1.17</f>
        <v>1097.46</v>
      </c>
      <c r="F54" s="7">
        <f>989*1.17</f>
        <v>1157.1299999999999</v>
      </c>
      <c r="G54" s="7">
        <f>1044*1.17</f>
        <v>1221.48</v>
      </c>
      <c r="H54" s="7">
        <f>1152*1.17</f>
        <v>1347.84</v>
      </c>
      <c r="I54" s="7">
        <f>1260*1.17</f>
        <v>1474.1999999999998</v>
      </c>
      <c r="J54" s="7">
        <f>1360*1.17</f>
        <v>1591.1999999999998</v>
      </c>
      <c r="K54" s="7">
        <f>1509*1.17</f>
        <v>1765.53</v>
      </c>
      <c r="L54" s="7">
        <f>1715*1.11</f>
        <v>1903.65</v>
      </c>
      <c r="M54" s="7">
        <f>2058*1.11</f>
        <v>2284.38</v>
      </c>
    </row>
    <row r="55" spans="1:13" ht="15">
      <c r="A55" s="3"/>
      <c r="B55" s="105" t="s">
        <v>45</v>
      </c>
      <c r="C55" s="106"/>
      <c r="D55" s="7">
        <f>968*1.17</f>
        <v>1132.56</v>
      </c>
      <c r="E55" s="7">
        <f>1044*1.17</f>
        <v>1221.48</v>
      </c>
      <c r="F55" s="7">
        <f>1105*1.17</f>
        <v>1292.85</v>
      </c>
      <c r="G55" s="7">
        <f>1163*1.17</f>
        <v>1360.7099999999998</v>
      </c>
      <c r="H55" s="7">
        <f>1300*1.17</f>
        <v>1521</v>
      </c>
      <c r="I55" s="7">
        <f>1422*1.17</f>
        <v>1663.74</v>
      </c>
      <c r="J55" s="7">
        <f>1536*1.17</f>
        <v>1797.12</v>
      </c>
      <c r="K55" s="7">
        <f>1700*1.17</f>
        <v>1988.9999999999998</v>
      </c>
      <c r="L55" s="7">
        <f>1932*1.11</f>
        <v>2144.52</v>
      </c>
      <c r="M55" s="7">
        <f>2318*1.11</f>
        <v>2572.98</v>
      </c>
    </row>
    <row r="56" spans="1:13" ht="15">
      <c r="A56" s="3"/>
      <c r="B56" s="20" t="s">
        <v>40</v>
      </c>
      <c r="C56" s="20"/>
      <c r="D56" s="7">
        <f>886*1.17</f>
        <v>1036.62</v>
      </c>
      <c r="E56" s="7">
        <f>932*1.17</f>
        <v>1090.4399999999998</v>
      </c>
      <c r="F56" s="7">
        <f>981*1.17</f>
        <v>1147.77</v>
      </c>
      <c r="G56" s="7">
        <f>1059*1.17</f>
        <v>1239.03</v>
      </c>
      <c r="H56" s="7">
        <f>1119*1.17</f>
        <v>1309.23</v>
      </c>
      <c r="I56" s="7">
        <f>1101*1.05*1.17</f>
        <v>1352.5784999999998</v>
      </c>
      <c r="J56" s="7">
        <f>1183*1.05*1.17</f>
        <v>1453.3155</v>
      </c>
      <c r="K56" s="7">
        <f>1322*1.05*1.17</f>
        <v>1624.077</v>
      </c>
      <c r="L56" s="7">
        <f>1587*1.17</f>
        <v>1856.79</v>
      </c>
      <c r="M56" s="7">
        <f>1904*1.17</f>
        <v>2227.68</v>
      </c>
    </row>
    <row r="57" spans="1:13" ht="15">
      <c r="A57" s="3"/>
      <c r="B57" s="105" t="s">
        <v>41</v>
      </c>
      <c r="C57" s="106"/>
      <c r="D57" s="7">
        <f>1064*1.17</f>
        <v>1244.8799999999999</v>
      </c>
      <c r="E57" s="7">
        <f>1122*1.17</f>
        <v>1312.74</v>
      </c>
      <c r="F57" s="7">
        <f>1188*1.17</f>
        <v>1389.9599999999998</v>
      </c>
      <c r="G57" s="7">
        <f>1274*1.17</f>
        <v>1490.58</v>
      </c>
      <c r="H57" s="7">
        <f>1380*1.17</f>
        <v>1614.6</v>
      </c>
      <c r="I57" s="7">
        <f>1368*1.05*1.17</f>
        <v>1680.588</v>
      </c>
      <c r="J57" s="7">
        <f>1474*1.05*1.17</f>
        <v>1810.809</v>
      </c>
      <c r="K57" s="7">
        <f>1636*1.05*1.17</f>
        <v>2009.826</v>
      </c>
      <c r="L57" s="7">
        <f>1963*1.17</f>
        <v>2296.71</v>
      </c>
      <c r="M57" s="7">
        <f>2356*1.17</f>
        <v>2756.52</v>
      </c>
    </row>
    <row r="58" spans="1:13" ht="15">
      <c r="A58" s="3"/>
      <c r="B58" s="105" t="s">
        <v>42</v>
      </c>
      <c r="C58" s="106"/>
      <c r="D58" s="7">
        <f>1187*1.17</f>
        <v>1388.79</v>
      </c>
      <c r="E58" s="7">
        <f>1246*1.17</f>
        <v>1457.82</v>
      </c>
      <c r="F58" s="7">
        <f>1330*1.17</f>
        <v>1556.1</v>
      </c>
      <c r="G58" s="7">
        <f>1422*1.17</f>
        <v>1663.74</v>
      </c>
      <c r="H58" s="7">
        <f>1553*1.17</f>
        <v>1817.01</v>
      </c>
      <c r="I58" s="7">
        <f>1543*1.05*1.17</f>
        <v>1895.5755</v>
      </c>
      <c r="J58" s="7">
        <f>1670*1.05*1.17</f>
        <v>2051.595</v>
      </c>
      <c r="K58" s="7">
        <f>1847*1.05*1.17</f>
        <v>2269.0395</v>
      </c>
      <c r="L58" s="7">
        <f>2216*1.17</f>
        <v>2592.72</v>
      </c>
      <c r="M58" s="7">
        <f>2659*1.17</f>
        <v>3111.0299999999997</v>
      </c>
    </row>
    <row r="59" spans="1:10" ht="21">
      <c r="A59" s="33" t="s">
        <v>103</v>
      </c>
      <c r="B59" s="78" t="s">
        <v>113</v>
      </c>
      <c r="C59" s="78"/>
      <c r="D59" s="78"/>
      <c r="E59" s="78"/>
      <c r="F59" s="78"/>
      <c r="G59" s="78"/>
      <c r="H59" s="78"/>
      <c r="I59" s="78"/>
      <c r="J59" s="78"/>
    </row>
    <row r="60" spans="2:13" ht="15">
      <c r="B60" s="107" t="s">
        <v>12</v>
      </c>
      <c r="C60" s="108"/>
      <c r="D60" s="23" t="s">
        <v>58</v>
      </c>
      <c r="E60" s="23" t="s">
        <v>93</v>
      </c>
      <c r="F60" s="23" t="s">
        <v>51</v>
      </c>
      <c r="G60" s="24" t="s">
        <v>52</v>
      </c>
      <c r="H60" s="24" t="s">
        <v>53</v>
      </c>
      <c r="I60" s="24" t="s">
        <v>54</v>
      </c>
      <c r="J60" s="24" t="s">
        <v>55</v>
      </c>
      <c r="K60" s="24" t="s">
        <v>56</v>
      </c>
      <c r="L60" s="24" t="s">
        <v>57</v>
      </c>
      <c r="M60" s="15" t="s">
        <v>137</v>
      </c>
    </row>
    <row r="61" spans="2:13" ht="15">
      <c r="B61" s="20" t="s">
        <v>32</v>
      </c>
      <c r="C61" s="20"/>
      <c r="D61" s="22">
        <f>810*0.8*1.05*1.17</f>
        <v>796.0679999999999</v>
      </c>
      <c r="E61" s="22">
        <f>876*0.8*1.05*1.17</f>
        <v>860.9328000000002</v>
      </c>
      <c r="F61" s="22">
        <f>945*0.8*1.05*1.17</f>
        <v>928.746</v>
      </c>
      <c r="G61" s="22">
        <f>1013*0.8*1.05*1.17</f>
        <v>995.5764000000001</v>
      </c>
      <c r="H61" s="22">
        <f>1080*0.8*1.05*1.17</f>
        <v>1061.424</v>
      </c>
      <c r="I61" s="22">
        <f>1215*0.8*1.05*1.17</f>
        <v>1194.1019999999999</v>
      </c>
      <c r="J61" s="22">
        <f>1350*0.8*1.05*1.17</f>
        <v>1326.78</v>
      </c>
      <c r="K61" s="22">
        <f>1485*0.8*1.05*1.17</f>
        <v>1459.458</v>
      </c>
      <c r="L61" s="22">
        <f>1688*0.8*1.17</f>
        <v>1579.968</v>
      </c>
      <c r="M61" s="22">
        <f>1620*1.17</f>
        <v>1895.3999999999999</v>
      </c>
    </row>
    <row r="62" spans="2:13" ht="15">
      <c r="B62" s="105" t="s">
        <v>33</v>
      </c>
      <c r="C62" s="106"/>
      <c r="D62" s="22">
        <f>978*0.8*1.05*1.17</f>
        <v>961.1784</v>
      </c>
      <c r="E62" s="22">
        <f>1056*0.8*1.05*1.17</f>
        <v>1037.8368</v>
      </c>
      <c r="F62" s="22">
        <f>1134*0.8*1.05*1.17</f>
        <v>1114.4952</v>
      </c>
      <c r="G62" s="22">
        <f>1218*0.8*1.05*1.17</f>
        <v>1197.0504</v>
      </c>
      <c r="H62" s="22">
        <f>1296*0.8*1.05*1.17</f>
        <v>1273.7088</v>
      </c>
      <c r="I62" s="22">
        <f>1464*0.8*1.05*1.17</f>
        <v>1438.8192</v>
      </c>
      <c r="J62" s="22">
        <f>1620*0.8*1.05*1.17</f>
        <v>1592.1359999999997</v>
      </c>
      <c r="K62" s="22">
        <f>1788*0.8*1.05*1.17</f>
        <v>1757.2464</v>
      </c>
      <c r="L62" s="22">
        <f>2022*0.8*1.17</f>
        <v>1892.592</v>
      </c>
      <c r="M62" s="22">
        <f>1942*1.17</f>
        <v>2272.14</v>
      </c>
    </row>
    <row r="63" ht="21">
      <c r="B63" s="10" t="s">
        <v>163</v>
      </c>
    </row>
    <row r="64" spans="2:13" ht="15">
      <c r="B64" s="36"/>
      <c r="C64" s="39"/>
      <c r="D64" s="25" t="s">
        <v>49</v>
      </c>
      <c r="E64" s="16" t="s">
        <v>91</v>
      </c>
      <c r="F64" s="25" t="s">
        <v>2</v>
      </c>
      <c r="G64" s="26" t="s">
        <v>3</v>
      </c>
      <c r="H64" s="26" t="s">
        <v>4</v>
      </c>
      <c r="I64" s="26" t="s">
        <v>5</v>
      </c>
      <c r="J64" s="26" t="s">
        <v>6</v>
      </c>
      <c r="K64" s="26" t="s">
        <v>7</v>
      </c>
      <c r="L64" s="26" t="s">
        <v>8</v>
      </c>
      <c r="M64" s="17" t="s">
        <v>135</v>
      </c>
    </row>
    <row r="65" spans="2:13" ht="15">
      <c r="B65" s="77" t="s">
        <v>164</v>
      </c>
      <c r="C65" s="38"/>
      <c r="D65" s="8">
        <f>57*1.05*1.17</f>
        <v>70.0245</v>
      </c>
      <c r="E65" s="8">
        <f>62*1.05*1.17</f>
        <v>76.167</v>
      </c>
      <c r="F65" s="8">
        <f>66*1.05*1.17</f>
        <v>81.08099999999999</v>
      </c>
      <c r="G65" s="8">
        <f>68*1.05*1.17</f>
        <v>83.538</v>
      </c>
      <c r="H65" s="8">
        <f>70*1.05*1.17</f>
        <v>85.99499999999999</v>
      </c>
      <c r="I65" s="8">
        <f>73*1.05*1.17</f>
        <v>89.6805</v>
      </c>
      <c r="J65" s="8">
        <f>84*1.05*1.17</f>
        <v>103.194</v>
      </c>
      <c r="K65" s="8">
        <f>94*1.05*1.17</f>
        <v>115.479</v>
      </c>
      <c r="L65" s="8">
        <f>125*1.05*1.17</f>
        <v>153.5625</v>
      </c>
      <c r="M65" s="8">
        <f>150*1.05*1.17</f>
        <v>184.27499999999998</v>
      </c>
    </row>
    <row r="66" spans="2:13" ht="15">
      <c r="B66" s="77" t="s">
        <v>165</v>
      </c>
      <c r="C66" s="38"/>
      <c r="D66" s="8">
        <f>88*1.05*1.17</f>
        <v>108.108</v>
      </c>
      <c r="E66" s="8">
        <f>96*1.05*1.17</f>
        <v>117.936</v>
      </c>
      <c r="F66" s="8">
        <f>101*1.05*1.17</f>
        <v>124.0785</v>
      </c>
      <c r="G66" s="8">
        <f>104*1.05*1.17</f>
        <v>127.764</v>
      </c>
      <c r="H66" s="8">
        <f>108*1.05*1.17</f>
        <v>132.678</v>
      </c>
      <c r="I66" s="8">
        <f>112*1.05*1.17</f>
        <v>137.592</v>
      </c>
      <c r="J66" s="8">
        <f>129*1.05*1.17</f>
        <v>158.47650000000002</v>
      </c>
      <c r="K66" s="8">
        <f>144*1.05*1.17</f>
        <v>176.904</v>
      </c>
      <c r="L66" s="8">
        <f>193*1.05*1.17</f>
        <v>237.10049999999998</v>
      </c>
      <c r="M66" s="8">
        <f>232*1.05*1.17</f>
        <v>285.012</v>
      </c>
    </row>
    <row r="67" ht="21">
      <c r="B67" s="10" t="s">
        <v>131</v>
      </c>
    </row>
    <row r="68" spans="2:13" ht="15">
      <c r="B68" s="36"/>
      <c r="C68" s="39"/>
      <c r="D68" s="26" t="s">
        <v>3</v>
      </c>
      <c r="E68" s="26" t="s">
        <v>5</v>
      </c>
      <c r="F68" s="26" t="s">
        <v>6</v>
      </c>
      <c r="G68" s="26" t="s">
        <v>126</v>
      </c>
      <c r="H68" s="26" t="s">
        <v>7</v>
      </c>
      <c r="I68" s="26" t="s">
        <v>127</v>
      </c>
      <c r="J68" s="26" t="s">
        <v>128</v>
      </c>
      <c r="K68" s="26" t="s">
        <v>129</v>
      </c>
      <c r="L68" s="26" t="s">
        <v>9</v>
      </c>
      <c r="M68" s="17" t="s">
        <v>138</v>
      </c>
    </row>
    <row r="69" spans="2:13" ht="15">
      <c r="B69" s="32" t="s">
        <v>132</v>
      </c>
      <c r="C69" s="38"/>
      <c r="D69" s="8">
        <f>106*1.05*1.17</f>
        <v>130.221</v>
      </c>
      <c r="E69" s="8">
        <f>123*1.05*1.17</f>
        <v>151.1055</v>
      </c>
      <c r="F69" s="8">
        <f>137*1.05*1.17</f>
        <v>168.3045</v>
      </c>
      <c r="G69" s="8">
        <f>144*1.05*1.17</f>
        <v>176.904</v>
      </c>
      <c r="H69" s="8">
        <f>151*1.05*1.17</f>
        <v>185.5035</v>
      </c>
      <c r="I69" s="8">
        <f>165*1.05*1.17</f>
        <v>202.7025</v>
      </c>
      <c r="J69" s="8">
        <f>202*1.05*1.17</f>
        <v>248.157</v>
      </c>
      <c r="K69" s="8">
        <f>225*1.05*1.17</f>
        <v>276.41249999999997</v>
      </c>
      <c r="L69" s="8">
        <f>248*1.05*1.17</f>
        <v>304.668</v>
      </c>
      <c r="M69" s="8">
        <f>287*1.05*1.17</f>
        <v>352.5795</v>
      </c>
    </row>
    <row r="70" spans="2:13" ht="15">
      <c r="B70" s="77" t="s">
        <v>166</v>
      </c>
      <c r="C70" s="38"/>
      <c r="D70" s="8">
        <f>138*1.05*1.17</f>
        <v>169.533</v>
      </c>
      <c r="E70" s="8">
        <f>160*1.05*1.17</f>
        <v>196.56</v>
      </c>
      <c r="F70" s="8">
        <f>178*1.05*1.17</f>
        <v>218.673</v>
      </c>
      <c r="G70" s="8">
        <f>187*1.05*1.17</f>
        <v>229.72949999999997</v>
      </c>
      <c r="H70" s="8">
        <f>196*1.05*1.17</f>
        <v>240.786</v>
      </c>
      <c r="I70" s="8">
        <f>215*1.05*1.17</f>
        <v>264.1275</v>
      </c>
      <c r="J70" s="8">
        <f>263*1.05*1.17</f>
        <v>323.0955</v>
      </c>
      <c r="K70" s="8">
        <f>293*1.05*1.17</f>
        <v>359.95050000000003</v>
      </c>
      <c r="L70" s="8">
        <f>322*1.05*1.17</f>
        <v>395.577</v>
      </c>
      <c r="M70" s="8">
        <f>372*1.05*1.17</f>
        <v>457.002</v>
      </c>
    </row>
    <row r="71" ht="21">
      <c r="B71" s="10" t="s">
        <v>133</v>
      </c>
    </row>
    <row r="72" spans="2:13" ht="15">
      <c r="B72" s="113"/>
      <c r="C72" s="114"/>
      <c r="D72" s="16" t="s">
        <v>49</v>
      </c>
      <c r="E72" s="16" t="s">
        <v>91</v>
      </c>
      <c r="F72" s="16" t="s">
        <v>2</v>
      </c>
      <c r="G72" s="17" t="s">
        <v>3</v>
      </c>
      <c r="H72" s="17" t="s">
        <v>4</v>
      </c>
      <c r="I72" s="17" t="s">
        <v>5</v>
      </c>
      <c r="J72" s="17" t="s">
        <v>6</v>
      </c>
      <c r="K72" s="17" t="s">
        <v>7</v>
      </c>
      <c r="L72" s="17" t="s">
        <v>8</v>
      </c>
      <c r="M72" s="17" t="s">
        <v>135</v>
      </c>
    </row>
    <row r="73" spans="2:13" ht="15">
      <c r="B73" s="115"/>
      <c r="C73" s="116"/>
      <c r="D73" s="18" t="s">
        <v>59</v>
      </c>
      <c r="E73" s="18" t="s">
        <v>92</v>
      </c>
      <c r="F73" s="18" t="s">
        <v>60</v>
      </c>
      <c r="G73" s="19" t="s">
        <v>61</v>
      </c>
      <c r="H73" s="19" t="s">
        <v>50</v>
      </c>
      <c r="I73" s="19" t="s">
        <v>10</v>
      </c>
      <c r="J73" s="19" t="s">
        <v>11</v>
      </c>
      <c r="K73" s="19" t="s">
        <v>62</v>
      </c>
      <c r="L73" s="19" t="s">
        <v>123</v>
      </c>
      <c r="M73" s="19" t="s">
        <v>136</v>
      </c>
    </row>
    <row r="74" spans="2:13" ht="15">
      <c r="B74" s="45" t="s">
        <v>134</v>
      </c>
      <c r="C74" s="1"/>
      <c r="D74" s="74">
        <f>402*1.05*1.17</f>
        <v>493.85699999999997</v>
      </c>
      <c r="E74" s="74">
        <f>432*1.05*1.17</f>
        <v>530.712</v>
      </c>
      <c r="F74" s="74">
        <f>460*1.05*1.17</f>
        <v>565.11</v>
      </c>
      <c r="G74" s="74">
        <f>493*1.05*1.17</f>
        <v>605.6505</v>
      </c>
      <c r="H74" s="74">
        <f>526*1.05*1.17</f>
        <v>646.191</v>
      </c>
      <c r="I74" s="74">
        <f>592*1.05*1.17</f>
        <v>727.2719999999999</v>
      </c>
      <c r="J74" s="74">
        <f>657*1.05*1.17</f>
        <v>807.1245</v>
      </c>
      <c r="K74" s="74">
        <f>723*1.05*1.17</f>
        <v>888.2054999999999</v>
      </c>
      <c r="L74" s="74">
        <f>822*1.05*1.17</f>
        <v>1009.827</v>
      </c>
      <c r="M74" s="74">
        <f>986*1.05*1.17</f>
        <v>1211.301</v>
      </c>
    </row>
    <row r="76" ht="18.75">
      <c r="B76" s="46" t="s">
        <v>146</v>
      </c>
    </row>
  </sheetData>
  <sheetProtection/>
  <mergeCells count="37">
    <mergeCell ref="B53:C53"/>
    <mergeCell ref="B40:C40"/>
    <mergeCell ref="I4:L4"/>
    <mergeCell ref="B46:C46"/>
    <mergeCell ref="E6:K6"/>
    <mergeCell ref="B22:C22"/>
    <mergeCell ref="B8:C8"/>
    <mergeCell ref="B16:C17"/>
    <mergeCell ref="B13:C13"/>
    <mergeCell ref="B14:C14"/>
    <mergeCell ref="B9:C9"/>
    <mergeCell ref="B11:C11"/>
    <mergeCell ref="B58:C58"/>
    <mergeCell ref="B72:C73"/>
    <mergeCell ref="B27:C27"/>
    <mergeCell ref="B29:C29"/>
    <mergeCell ref="B32:C32"/>
    <mergeCell ref="B62:C62"/>
    <mergeCell ref="B39:C39"/>
    <mergeCell ref="B37:C37"/>
    <mergeCell ref="B51:C52"/>
    <mergeCell ref="B57:C57"/>
    <mergeCell ref="B18:C18"/>
    <mergeCell ref="B20:C20"/>
    <mergeCell ref="B31:C31"/>
    <mergeCell ref="B34:C34"/>
    <mergeCell ref="B25:C26"/>
    <mergeCell ref="B59:J59"/>
    <mergeCell ref="A8:A14"/>
    <mergeCell ref="B55:C55"/>
    <mergeCell ref="B60:C60"/>
    <mergeCell ref="B23:C23"/>
    <mergeCell ref="B44:C44"/>
    <mergeCell ref="B35:C35"/>
    <mergeCell ref="B42:C43"/>
    <mergeCell ref="B49:C49"/>
    <mergeCell ref="B48:C48"/>
  </mergeCells>
  <hyperlinks>
    <hyperlink ref="I4" r:id="rId1" display="www.tapco.dp.ua"/>
  </hyperlinks>
  <printOptions/>
  <pageMargins left="0.15748031496062992" right="0.2362204724409449" top="0.3937007874015748" bottom="0" header="0.31496062992125984" footer="0.31496062992125984"/>
  <pageSetup horizontalDpi="600" verticalDpi="600" orientation="portrait" paperSize="9" scale="6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Саша</dc:creator>
  <cp:keywords/>
  <dc:description/>
  <cp:lastModifiedBy>WIN10</cp:lastModifiedBy>
  <cp:lastPrinted>2018-10-02T10:30:03Z</cp:lastPrinted>
  <dcterms:created xsi:type="dcterms:W3CDTF">2014-09-06T18:40:42Z</dcterms:created>
  <dcterms:modified xsi:type="dcterms:W3CDTF">2018-10-02T10:30:51Z</dcterms:modified>
  <cp:category/>
  <cp:version/>
  <cp:contentType/>
  <cp:contentStatus/>
</cp:coreProperties>
</file>